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emf" ContentType="image/x-emf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20" windowHeight="11020" tabRatio="844" activeTab="1"/>
  </bookViews>
  <sheets>
    <sheet name="RELATÓRIO FOTOGRÁFICO" sheetId="112" r:id="rId1"/>
    <sheet name="MEMÓRIA DE CÁLCULO" sheetId="109" r:id="rId2"/>
    <sheet name="ORÇAMENTO" sheetId="107" r:id="rId3"/>
    <sheet name="COTAÇÃO" sheetId="108" r:id="rId4"/>
    <sheet name="CRONOGRAMA" sheetId="95" r:id="rId5"/>
    <sheet name="BDI" sheetId="110" r:id="rId6"/>
  </sheets>
  <externalReferences>
    <externalReference r:id="rId7"/>
  </externalReferences>
  <definedNames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ACRE" localSheetId="1" hidden="1">#REF!</definedName>
    <definedName name="ACRE" localSheetId="2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5">BDI!$A$1:$Q$38</definedName>
    <definedName name="_xlnm.Print_Area" localSheetId="4">CRONOGRAMA!$A$1:$U$42</definedName>
    <definedName name="_xlnm.Print_Area" localSheetId="1">'MEMÓRIA DE CÁLCULO'!$B$1:$K$675</definedName>
    <definedName name="_xlnm.Print_Area" localSheetId="2">ORÇAMENTO!$B$1:$J$282</definedName>
    <definedName name="_xlnm.Print_Area" localSheetId="0">'RELATÓRIO FOTOGRÁFICO'!$B$1:$E$44</definedName>
    <definedName name="BDI.Opcao" hidden="1">[1]DADOS!$F$18</definedName>
    <definedName name="BDI.TipoObra" hidden="1">[1]BDI!$A$138:$A$146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ESONERACAO" hidden="1">IF(OR(Import.Desoneracao="DESONERADO",Import.Desoneracao="SIM"),"SIM","NÃO")</definedName>
    <definedName name="Import.Apelido" hidden="1">[1]DADOS!$F$16</definedName>
    <definedName name="Import.DescLote" hidden="1">[1]DADOS!$F$17</definedName>
    <definedName name="Import.Desoneracao" hidden="1">OFFSET([1]DADOS!$G$18,0,-1)</definedName>
    <definedName name="Import.Município" hidden="1">[1]DADOS!$F$6</definedName>
    <definedName name="Import.RespOrçamento" hidden="1">[1]DADOS!$F$22:$F$24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1" hidden="1">#REF!</definedName>
    <definedName name="SINAPI_AC" localSheetId="2" hidden="1">#REF!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1">'MEMÓRIA DE CÁLCULO'!$1:$9</definedName>
    <definedName name="_xlnm.Print_Titles" localSheetId="2">ORÇAMENTO!$1:$9</definedName>
    <definedName name="_xlnm.Print_Titles" localSheetId="0">'RELATÓRIO FOTOGRÁFICO'!$1:$35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G119" i="107"/>
  <c r="G116"/>
  <c r="G115"/>
  <c r="G114"/>
  <c r="G113"/>
  <c r="G112"/>
  <c r="G111"/>
  <c r="G110"/>
  <c r="H426" i="109"/>
  <c r="J426" s="1"/>
  <c r="H425"/>
  <c r="J425" s="1"/>
  <c r="H424"/>
  <c r="J424" s="1"/>
  <c r="J423"/>
  <c r="J422"/>
  <c r="J421"/>
  <c r="J420"/>
  <c r="J411"/>
  <c r="H411"/>
  <c r="H410"/>
  <c r="J410" s="1"/>
  <c r="H409"/>
  <c r="J409" s="1"/>
  <c r="J408"/>
  <c r="J407"/>
  <c r="J406"/>
  <c r="J405"/>
  <c r="J417"/>
  <c r="J402"/>
  <c r="J393"/>
  <c r="J396"/>
  <c r="J397" s="1"/>
  <c r="J365"/>
  <c r="J366" s="1"/>
  <c r="I357" s="1"/>
  <c r="J357" s="1"/>
  <c r="J358" s="1"/>
  <c r="G100" i="107" s="1"/>
  <c r="G379" i="109"/>
  <c r="J379" s="1"/>
  <c r="J380" s="1"/>
  <c r="G106" i="107" s="1"/>
  <c r="J386" i="109"/>
  <c r="G107" i="107" s="1"/>
  <c r="H343" i="109"/>
  <c r="J343" s="1"/>
  <c r="H342"/>
  <c r="J342" s="1"/>
  <c r="H341"/>
  <c r="J341" s="1"/>
  <c r="J340"/>
  <c r="J339"/>
  <c r="J338"/>
  <c r="J337"/>
  <c r="H333"/>
  <c r="J333" s="1"/>
  <c r="H332"/>
  <c r="J332" s="1"/>
  <c r="H331"/>
  <c r="J331" s="1"/>
  <c r="J328"/>
  <c r="J329"/>
  <c r="J330"/>
  <c r="J327"/>
  <c r="H186"/>
  <c r="G181"/>
  <c r="G180"/>
  <c r="G179"/>
  <c r="G178"/>
  <c r="T27" i="95"/>
  <c r="J6" i="107"/>
  <c r="J412" i="109" l="1"/>
  <c r="J427"/>
  <c r="G102" i="107"/>
  <c r="H361" i="109"/>
  <c r="J361" s="1"/>
  <c r="J362" s="1"/>
  <c r="G101" i="107" s="1"/>
  <c r="J344" i="109"/>
  <c r="G95" i="107" s="1"/>
  <c r="J334" i="109"/>
  <c r="G94" i="107" s="1"/>
  <c r="E32" i="110"/>
  <c r="I22"/>
  <c r="A22"/>
  <c r="I21"/>
  <c r="A21"/>
  <c r="I20"/>
  <c r="A20"/>
  <c r="I19"/>
  <c r="A19"/>
  <c r="I18"/>
  <c r="A18"/>
  <c r="L26" l="1"/>
  <c r="B29" s="1"/>
  <c r="A29" l="1"/>
  <c r="J523" i="109"/>
  <c r="G186" i="107" s="1"/>
  <c r="J517" i="109"/>
  <c r="G185" i="107" s="1"/>
  <c r="J512" i="109"/>
  <c r="G184" i="107" s="1"/>
  <c r="J660" i="109"/>
  <c r="G276" i="107" s="1"/>
  <c r="J350" i="109"/>
  <c r="J349"/>
  <c r="J348"/>
  <c r="J347"/>
  <c r="J374"/>
  <c r="J375" s="1"/>
  <c r="G104" i="107" s="1"/>
  <c r="J371" i="109"/>
  <c r="G103" i="107" s="1"/>
  <c r="J665" i="109"/>
  <c r="G277" i="107" s="1"/>
  <c r="J669" i="109"/>
  <c r="G278" i="107" s="1"/>
  <c r="J673" i="109"/>
  <c r="G279" i="107" s="1"/>
  <c r="J645" i="109"/>
  <c r="J646" s="1"/>
  <c r="G271" i="107" s="1"/>
  <c r="J629" i="109"/>
  <c r="G266" i="107" s="1"/>
  <c r="J633" i="109"/>
  <c r="G267" i="107" s="1"/>
  <c r="J637" i="109"/>
  <c r="G268" i="107" s="1"/>
  <c r="J641" i="109"/>
  <c r="G269" i="107" s="1"/>
  <c r="J624" i="109"/>
  <c r="J625" s="1"/>
  <c r="G265" i="107" s="1"/>
  <c r="J256" i="109"/>
  <c r="J247"/>
  <c r="J252"/>
  <c r="J251"/>
  <c r="J246"/>
  <c r="J245"/>
  <c r="J230"/>
  <c r="J231" s="1"/>
  <c r="G61" i="107" s="1"/>
  <c r="J226" i="109"/>
  <c r="J227" s="1"/>
  <c r="G60" i="107" s="1"/>
  <c r="J223" i="109"/>
  <c r="G59" i="107" s="1"/>
  <c r="J292" i="109"/>
  <c r="G81" i="107" s="1"/>
  <c r="J285" i="109"/>
  <c r="J286"/>
  <c r="J284"/>
  <c r="J280"/>
  <c r="J279"/>
  <c r="J278"/>
  <c r="J274"/>
  <c r="G76" i="107" s="1"/>
  <c r="J268" i="109"/>
  <c r="J267"/>
  <c r="J264"/>
  <c r="G73" i="107" s="1"/>
  <c r="J322" i="109"/>
  <c r="G91" i="107" s="1"/>
  <c r="J318" i="109"/>
  <c r="G90" i="107" s="1"/>
  <c r="J311" i="109"/>
  <c r="J310"/>
  <c r="J305"/>
  <c r="J306" s="1"/>
  <c r="G86" i="107" s="1"/>
  <c r="J301" i="109"/>
  <c r="J302" s="1"/>
  <c r="G85" i="107" s="1"/>
  <c r="J297" i="109"/>
  <c r="J298" s="1"/>
  <c r="G84" i="107" s="1"/>
  <c r="J234" i="109"/>
  <c r="J235" s="1"/>
  <c r="G62" i="107" s="1"/>
  <c r="J240" i="109"/>
  <c r="G64" i="107" s="1"/>
  <c r="J214" i="109"/>
  <c r="G56" i="107" s="1"/>
  <c r="J210" i="109"/>
  <c r="G55" i="107" s="1"/>
  <c r="J218" i="109"/>
  <c r="G57" i="107" s="1"/>
  <c r="J206" i="109"/>
  <c r="G54" i="107" s="1"/>
  <c r="J351" i="109" l="1"/>
  <c r="G96" i="107" s="1"/>
  <c r="J248" i="109"/>
  <c r="G67" i="107" s="1"/>
  <c r="J257" i="109"/>
  <c r="G69" i="107" s="1"/>
  <c r="J253" i="109"/>
  <c r="G68" i="107" s="1"/>
  <c r="J269" i="109"/>
  <c r="G74" i="107" s="1"/>
  <c r="J287" i="109"/>
  <c r="G79" i="107" s="1"/>
  <c r="J281" i="109"/>
  <c r="J312"/>
  <c r="G87" i="107" s="1"/>
  <c r="J181" i="109"/>
  <c r="J180"/>
  <c r="J179"/>
  <c r="J178"/>
  <c r="F193"/>
  <c r="J193" s="1"/>
  <c r="F194"/>
  <c r="J194" s="1"/>
  <c r="F195"/>
  <c r="J195" s="1"/>
  <c r="J196"/>
  <c r="F192"/>
  <c r="J192" s="1"/>
  <c r="J186"/>
  <c r="J187"/>
  <c r="J188"/>
  <c r="H185"/>
  <c r="J185" s="1"/>
  <c r="J175"/>
  <c r="G48" i="107" s="1"/>
  <c r="J655" i="109" l="1"/>
  <c r="J656" s="1"/>
  <c r="G275" i="107" s="1"/>
  <c r="G78"/>
  <c r="J189" i="109"/>
  <c r="G50" i="107" s="1"/>
  <c r="J197" i="109"/>
  <c r="G51" i="107" s="1"/>
  <c r="J182" i="109"/>
  <c r="G49" i="107" s="1"/>
  <c r="J200" i="109"/>
  <c r="J201" s="1"/>
  <c r="G52" i="107" s="1"/>
  <c r="J167" i="109"/>
  <c r="J165"/>
  <c r="J164"/>
  <c r="J166"/>
  <c r="J160"/>
  <c r="J159"/>
  <c r="J158"/>
  <c r="J157"/>
  <c r="J153"/>
  <c r="J152"/>
  <c r="J150"/>
  <c r="G151"/>
  <c r="J151" s="1"/>
  <c r="J146"/>
  <c r="J145"/>
  <c r="J144"/>
  <c r="J137"/>
  <c r="G136"/>
  <c r="J136" s="1"/>
  <c r="J135"/>
  <c r="J131"/>
  <c r="J129"/>
  <c r="G130"/>
  <c r="J130" s="1"/>
  <c r="G125"/>
  <c r="J125" s="1"/>
  <c r="G123"/>
  <c r="J123" s="1"/>
  <c r="F124"/>
  <c r="J124" s="1"/>
  <c r="J119"/>
  <c r="J118"/>
  <c r="J117"/>
  <c r="J113"/>
  <c r="G112"/>
  <c r="J112" s="1"/>
  <c r="J111"/>
  <c r="J104"/>
  <c r="J105"/>
  <c r="J106"/>
  <c r="J98"/>
  <c r="J99"/>
  <c r="J92"/>
  <c r="J93"/>
  <c r="J87"/>
  <c r="J86"/>
  <c r="J85"/>
  <c r="J61"/>
  <c r="J60"/>
  <c r="J59"/>
  <c r="J58"/>
  <c r="J74"/>
  <c r="J72"/>
  <c r="G73"/>
  <c r="J73" s="1"/>
  <c r="J66"/>
  <c r="J67"/>
  <c r="J52"/>
  <c r="J53"/>
  <c r="J54"/>
  <c r="H16"/>
  <c r="J88" l="1"/>
  <c r="J126"/>
  <c r="G37" i="107" s="1"/>
  <c r="J154" i="109"/>
  <c r="G44" i="107" s="1"/>
  <c r="J168" i="109"/>
  <c r="G46" i="107" s="1"/>
  <c r="J161" i="109"/>
  <c r="G45" i="107" s="1"/>
  <c r="J147" i="109"/>
  <c r="G43" i="107" s="1"/>
  <c r="J114" i="109"/>
  <c r="G35" i="107" s="1"/>
  <c r="G30"/>
  <c r="J132" i="109"/>
  <c r="G38" i="107" s="1"/>
  <c r="J120" i="109"/>
  <c r="G36" i="107" s="1"/>
  <c r="J138" i="109"/>
  <c r="G39" i="107" s="1"/>
  <c r="J649" i="109"/>
  <c r="J650" s="1"/>
  <c r="G272" i="107" s="1"/>
  <c r="J564" i="109"/>
  <c r="J559"/>
  <c r="J554"/>
  <c r="J549"/>
  <c r="J544"/>
  <c r="J431"/>
  <c r="J435"/>
  <c r="J439"/>
  <c r="J443"/>
  <c r="I69" i="107"/>
  <c r="J69" s="1"/>
  <c r="I68"/>
  <c r="J68" s="1"/>
  <c r="I185"/>
  <c r="J185" s="1"/>
  <c r="I184"/>
  <c r="J184" s="1"/>
  <c r="I86"/>
  <c r="J86" s="1"/>
  <c r="I87"/>
  <c r="J87" s="1"/>
  <c r="I190"/>
  <c r="J190" s="1"/>
  <c r="J103" i="109"/>
  <c r="J107" s="1"/>
  <c r="G33" i="107" s="1"/>
  <c r="J97" i="109"/>
  <c r="J100" s="1"/>
  <c r="G32" i="107" s="1"/>
  <c r="J91" i="109"/>
  <c r="J94" s="1"/>
  <c r="G31" i="107" s="1"/>
  <c r="J78" i="109"/>
  <c r="J68"/>
  <c r="J65"/>
  <c r="J51"/>
  <c r="J45"/>
  <c r="J46" s="1"/>
  <c r="G19" i="107" s="1"/>
  <c r="J37" i="109"/>
  <c r="J38" s="1"/>
  <c r="J34"/>
  <c r="G16" i="107" s="1"/>
  <c r="J28" i="109"/>
  <c r="J29" s="1"/>
  <c r="J25"/>
  <c r="J21"/>
  <c r="J16"/>
  <c r="J17" s="1"/>
  <c r="G12" i="107" s="1"/>
  <c r="J12" i="109"/>
  <c r="J13" s="1"/>
  <c r="G17" i="107" l="1"/>
  <c r="H41" i="109"/>
  <c r="J41" s="1"/>
  <c r="J42" s="1"/>
  <c r="G18" i="107" s="1"/>
  <c r="J69" i="109"/>
  <c r="G24" i="107" s="1"/>
  <c r="J75" i="109"/>
  <c r="G25" i="107" s="1"/>
  <c r="J79" i="109"/>
  <c r="G26" i="107" s="1"/>
  <c r="J55" i="109"/>
  <c r="G22" i="107" s="1"/>
  <c r="J62" i="109"/>
  <c r="G23" i="107" s="1"/>
  <c r="I79" l="1"/>
  <c r="J79" s="1"/>
  <c r="I279"/>
  <c r="J279" s="1"/>
  <c r="I278"/>
  <c r="J278" s="1"/>
  <c r="I277"/>
  <c r="J277" s="1"/>
  <c r="I276"/>
  <c r="J276" s="1"/>
  <c r="I275"/>
  <c r="J275" s="1"/>
  <c r="I272"/>
  <c r="I271"/>
  <c r="J271" s="1"/>
  <c r="I269"/>
  <c r="J269" s="1"/>
  <c r="I268"/>
  <c r="J268" s="1"/>
  <c r="I267"/>
  <c r="J267" s="1"/>
  <c r="I266"/>
  <c r="J266" s="1"/>
  <c r="I265"/>
  <c r="J265" s="1"/>
  <c r="I261"/>
  <c r="J261" s="1"/>
  <c r="I260"/>
  <c r="J260" s="1"/>
  <c r="I259"/>
  <c r="J259" s="1"/>
  <c r="I258"/>
  <c r="J258" s="1"/>
  <c r="I257"/>
  <c r="J257" s="1"/>
  <c r="I256"/>
  <c r="J256" s="1"/>
  <c r="I255"/>
  <c r="J255" s="1"/>
  <c r="I254"/>
  <c r="J254" s="1"/>
  <c r="I251"/>
  <c r="J251" s="1"/>
  <c r="I250"/>
  <c r="J250" s="1"/>
  <c r="I249"/>
  <c r="J249" s="1"/>
  <c r="I248"/>
  <c r="J248" s="1"/>
  <c r="I247"/>
  <c r="J247" s="1"/>
  <c r="I245"/>
  <c r="J245" s="1"/>
  <c r="I244"/>
  <c r="J244" s="1"/>
  <c r="I243"/>
  <c r="J243" s="1"/>
  <c r="I242"/>
  <c r="J242" s="1"/>
  <c r="I240"/>
  <c r="J240" s="1"/>
  <c r="I239"/>
  <c r="J239" s="1"/>
  <c r="I238"/>
  <c r="J238" s="1"/>
  <c r="I237"/>
  <c r="J237" s="1"/>
  <c r="I236"/>
  <c r="J236" s="1"/>
  <c r="I235"/>
  <c r="J235" s="1"/>
  <c r="I234"/>
  <c r="J234" s="1"/>
  <c r="I233"/>
  <c r="J233" s="1"/>
  <c r="I232"/>
  <c r="J232" s="1"/>
  <c r="I231"/>
  <c r="J231" s="1"/>
  <c r="I230"/>
  <c r="J230" s="1"/>
  <c r="I229"/>
  <c r="J229" s="1"/>
  <c r="I228"/>
  <c r="J228" s="1"/>
  <c r="I227"/>
  <c r="J227" s="1"/>
  <c r="I226"/>
  <c r="J226" s="1"/>
  <c r="I225"/>
  <c r="J225" s="1"/>
  <c r="I224"/>
  <c r="J224" s="1"/>
  <c r="I223"/>
  <c r="J223" s="1"/>
  <c r="I222"/>
  <c r="J222" s="1"/>
  <c r="I221"/>
  <c r="J221" s="1"/>
  <c r="I220"/>
  <c r="J220" s="1"/>
  <c r="I218"/>
  <c r="J218" s="1"/>
  <c r="I217"/>
  <c r="J217" s="1"/>
  <c r="I216"/>
  <c r="J216" s="1"/>
  <c r="I215"/>
  <c r="J215" s="1"/>
  <c r="I214"/>
  <c r="J214" s="1"/>
  <c r="I213"/>
  <c r="J213" s="1"/>
  <c r="I212"/>
  <c r="J212" s="1"/>
  <c r="I211"/>
  <c r="J211" s="1"/>
  <c r="I207"/>
  <c r="J207" s="1"/>
  <c r="I206"/>
  <c r="J206" s="1"/>
  <c r="I205"/>
  <c r="J205" s="1"/>
  <c r="I204"/>
  <c r="J204" s="1"/>
  <c r="I203"/>
  <c r="J203" s="1"/>
  <c r="I200"/>
  <c r="J200" s="1"/>
  <c r="I199"/>
  <c r="J199" s="1"/>
  <c r="I198"/>
  <c r="J198" s="1"/>
  <c r="I197"/>
  <c r="J197" s="1"/>
  <c r="I196"/>
  <c r="J196" s="1"/>
  <c r="I195"/>
  <c r="J195" s="1"/>
  <c r="I194"/>
  <c r="J194" s="1"/>
  <c r="I193"/>
  <c r="J193" s="1"/>
  <c r="I192"/>
  <c r="J192" s="1"/>
  <c r="I191"/>
  <c r="J191" s="1"/>
  <c r="I189"/>
  <c r="J189" s="1"/>
  <c r="I186"/>
  <c r="J186" s="1"/>
  <c r="J183" s="1"/>
  <c r="C25" i="95" s="1"/>
  <c r="I181" i="107"/>
  <c r="J181" s="1"/>
  <c r="I180"/>
  <c r="J180" s="1"/>
  <c r="I179"/>
  <c r="J179" s="1"/>
  <c r="I178"/>
  <c r="J178" s="1"/>
  <c r="I177"/>
  <c r="J177" s="1"/>
  <c r="I176"/>
  <c r="J176" s="1"/>
  <c r="I175"/>
  <c r="J175" s="1"/>
  <c r="I174"/>
  <c r="J174" s="1"/>
  <c r="I172"/>
  <c r="J172" s="1"/>
  <c r="I171"/>
  <c r="J171" s="1"/>
  <c r="I170"/>
  <c r="J170" s="1"/>
  <c r="I169"/>
  <c r="J169" s="1"/>
  <c r="I168"/>
  <c r="J168" s="1"/>
  <c r="I167"/>
  <c r="J167" s="1"/>
  <c r="I166"/>
  <c r="J166" s="1"/>
  <c r="I165"/>
  <c r="J165" s="1"/>
  <c r="I164"/>
  <c r="J164" s="1"/>
  <c r="I163"/>
  <c r="J163" s="1"/>
  <c r="I162"/>
  <c r="J162" s="1"/>
  <c r="I158"/>
  <c r="J158" s="1"/>
  <c r="I157"/>
  <c r="J157" s="1"/>
  <c r="I156"/>
  <c r="J156" s="1"/>
  <c r="I155"/>
  <c r="J155" s="1"/>
  <c r="I154"/>
  <c r="J154" s="1"/>
  <c r="I153"/>
  <c r="J153" s="1"/>
  <c r="I152"/>
  <c r="J152" s="1"/>
  <c r="I151"/>
  <c r="J151" s="1"/>
  <c r="I150"/>
  <c r="J150" s="1"/>
  <c r="I149"/>
  <c r="J149" s="1"/>
  <c r="I148"/>
  <c r="J148" s="1"/>
  <c r="I147"/>
  <c r="J147" s="1"/>
  <c r="I146"/>
  <c r="J146" s="1"/>
  <c r="I145"/>
  <c r="J145" s="1"/>
  <c r="I144"/>
  <c r="J144" s="1"/>
  <c r="I143"/>
  <c r="J143" s="1"/>
  <c r="I142"/>
  <c r="J142" s="1"/>
  <c r="I141"/>
  <c r="J141" s="1"/>
  <c r="I140"/>
  <c r="J140" s="1"/>
  <c r="I139"/>
  <c r="J139" s="1"/>
  <c r="I138"/>
  <c r="J138" s="1"/>
  <c r="I137"/>
  <c r="J137" s="1"/>
  <c r="I136"/>
  <c r="J136" s="1"/>
  <c r="I135"/>
  <c r="J135" s="1"/>
  <c r="I134"/>
  <c r="J134" s="1"/>
  <c r="I133"/>
  <c r="J133" s="1"/>
  <c r="I132"/>
  <c r="J132" s="1"/>
  <c r="I131"/>
  <c r="J131" s="1"/>
  <c r="I130"/>
  <c r="J130" s="1"/>
  <c r="I129"/>
  <c r="J129" s="1"/>
  <c r="I128"/>
  <c r="J128" s="1"/>
  <c r="I127"/>
  <c r="J127" s="1"/>
  <c r="I126"/>
  <c r="J126" s="1"/>
  <c r="I125"/>
  <c r="J125" s="1"/>
  <c r="I124"/>
  <c r="J124" s="1"/>
  <c r="I123"/>
  <c r="J123" s="1"/>
  <c r="I119"/>
  <c r="J119" s="1"/>
  <c r="I118"/>
  <c r="J118" s="1"/>
  <c r="I117"/>
  <c r="J117" s="1"/>
  <c r="I116"/>
  <c r="J116" s="1"/>
  <c r="I115"/>
  <c r="J115" s="1"/>
  <c r="I114"/>
  <c r="J114" s="1"/>
  <c r="I113"/>
  <c r="J113" s="1"/>
  <c r="I112"/>
  <c r="J112" s="1"/>
  <c r="I111"/>
  <c r="J111" s="1"/>
  <c r="I110"/>
  <c r="J110" s="1"/>
  <c r="I107"/>
  <c r="J107" s="1"/>
  <c r="I106"/>
  <c r="J106" s="1"/>
  <c r="I104"/>
  <c r="J104" s="1"/>
  <c r="I103"/>
  <c r="J103" s="1"/>
  <c r="I102"/>
  <c r="J102" s="1"/>
  <c r="I101"/>
  <c r="J101" s="1"/>
  <c r="I100"/>
  <c r="J100" s="1"/>
  <c r="I96"/>
  <c r="J96" s="1"/>
  <c r="I95"/>
  <c r="J95" s="1"/>
  <c r="I94"/>
  <c r="J94" s="1"/>
  <c r="I91"/>
  <c r="J91" s="1"/>
  <c r="I90"/>
  <c r="J90" s="1"/>
  <c r="I85"/>
  <c r="J85" s="1"/>
  <c r="I84"/>
  <c r="J84" s="1"/>
  <c r="I81"/>
  <c r="J81" s="1"/>
  <c r="I78"/>
  <c r="J78" s="1"/>
  <c r="I76"/>
  <c r="J76" s="1"/>
  <c r="I74"/>
  <c r="J74" s="1"/>
  <c r="I73"/>
  <c r="J73" s="1"/>
  <c r="I67"/>
  <c r="J67" s="1"/>
  <c r="J66" s="1"/>
  <c r="C16" i="95" s="1"/>
  <c r="I64" i="107"/>
  <c r="J64" s="1"/>
  <c r="I62"/>
  <c r="J62" s="1"/>
  <c r="I61"/>
  <c r="J61" s="1"/>
  <c r="I60"/>
  <c r="J60" s="1"/>
  <c r="I59"/>
  <c r="J59" s="1"/>
  <c r="I57"/>
  <c r="J57" s="1"/>
  <c r="I56"/>
  <c r="J56" s="1"/>
  <c r="I55"/>
  <c r="J55" s="1"/>
  <c r="I54"/>
  <c r="J54" s="1"/>
  <c r="I52"/>
  <c r="J52" s="1"/>
  <c r="I51"/>
  <c r="J51" s="1"/>
  <c r="I50"/>
  <c r="J50" s="1"/>
  <c r="I49"/>
  <c r="J49" s="1"/>
  <c r="I48"/>
  <c r="J48" s="1"/>
  <c r="I46"/>
  <c r="J46" s="1"/>
  <c r="I45"/>
  <c r="J45" s="1"/>
  <c r="I44"/>
  <c r="J44" s="1"/>
  <c r="I43"/>
  <c r="J43" s="1"/>
  <c r="I39"/>
  <c r="J39" s="1"/>
  <c r="I38"/>
  <c r="J38" s="1"/>
  <c r="I37"/>
  <c r="J37" s="1"/>
  <c r="I36"/>
  <c r="J36" s="1"/>
  <c r="I35"/>
  <c r="J35" s="1"/>
  <c r="I33"/>
  <c r="J33" s="1"/>
  <c r="I32"/>
  <c r="J32" s="1"/>
  <c r="I31"/>
  <c r="J31" s="1"/>
  <c r="I30"/>
  <c r="J30" s="1"/>
  <c r="I26"/>
  <c r="J26" s="1"/>
  <c r="I25"/>
  <c r="J25" s="1"/>
  <c r="I24"/>
  <c r="J24" s="1"/>
  <c r="I23"/>
  <c r="J23" s="1"/>
  <c r="I22"/>
  <c r="J22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11"/>
  <c r="J11" s="1"/>
  <c r="J274" l="1"/>
  <c r="C31" i="95" s="1"/>
  <c r="T31" s="1"/>
  <c r="U31" s="1"/>
  <c r="V31" s="1"/>
  <c r="J71" i="107"/>
  <c r="J109"/>
  <c r="C22" i="95" s="1"/>
  <c r="J22" s="1"/>
  <c r="J253" i="107"/>
  <c r="C29" i="95" s="1"/>
  <c r="L25"/>
  <c r="F25"/>
  <c r="J25"/>
  <c r="N25"/>
  <c r="H25"/>
  <c r="J121" i="107"/>
  <c r="C23" i="95" s="1"/>
  <c r="J188" i="107"/>
  <c r="C26" i="95" s="1"/>
  <c r="J209" i="107"/>
  <c r="C28" i="95" s="1"/>
  <c r="N16"/>
  <c r="L16"/>
  <c r="C17"/>
  <c r="J202" i="107"/>
  <c r="C27" i="95" s="1"/>
  <c r="J160" i="107"/>
  <c r="C24" i="95" s="1"/>
  <c r="J83" i="107"/>
  <c r="C18" i="95" s="1"/>
  <c r="J41" i="107"/>
  <c r="C15" i="95" s="1"/>
  <c r="J15" s="1"/>
  <c r="J272" i="107"/>
  <c r="J263" s="1"/>
  <c r="C30" i="95" s="1"/>
  <c r="J89" i="107"/>
  <c r="C19" i="95" s="1"/>
  <c r="J21" i="107"/>
  <c r="C13" i="95" s="1"/>
  <c r="J13" s="1"/>
  <c r="J28" i="107"/>
  <c r="C14" i="95" s="1"/>
  <c r="J93" i="107"/>
  <c r="C20" i="95" s="1"/>
  <c r="J10" i="107"/>
  <c r="C12" i="95" s="1"/>
  <c r="J12" s="1"/>
  <c r="J98" i="107"/>
  <c r="C21" i="95" s="1"/>
  <c r="L18" l="1"/>
  <c r="U16"/>
  <c r="V16" s="1"/>
  <c r="J18"/>
  <c r="T30"/>
  <c r="R30"/>
  <c r="P28"/>
  <c r="R28"/>
  <c r="L26"/>
  <c r="J26"/>
  <c r="F26"/>
  <c r="H26"/>
  <c r="N26"/>
  <c r="U25"/>
  <c r="V25" s="1"/>
  <c r="H23"/>
  <c r="J23"/>
  <c r="N23"/>
  <c r="F23"/>
  <c r="L23"/>
  <c r="N17"/>
  <c r="P17"/>
  <c r="P29"/>
  <c r="P21"/>
  <c r="F21"/>
  <c r="R21"/>
  <c r="P20"/>
  <c r="R20"/>
  <c r="H24"/>
  <c r="L24"/>
  <c r="N24"/>
  <c r="F24"/>
  <c r="J24"/>
  <c r="T22"/>
  <c r="H22"/>
  <c r="F22"/>
  <c r="H19"/>
  <c r="L15"/>
  <c r="H15"/>
  <c r="H14"/>
  <c r="F14"/>
  <c r="H13"/>
  <c r="F13"/>
  <c r="L12"/>
  <c r="R12"/>
  <c r="N12"/>
  <c r="T12"/>
  <c r="P12"/>
  <c r="F12"/>
  <c r="J281" i="107"/>
  <c r="C33" i="95"/>
  <c r="U17" l="1"/>
  <c r="U20"/>
  <c r="V20" s="1"/>
  <c r="U18"/>
  <c r="V18" s="1"/>
  <c r="U30"/>
  <c r="V30" s="1"/>
  <c r="U21"/>
  <c r="V21" s="1"/>
  <c r="U28"/>
  <c r="V28" s="1"/>
  <c r="U26"/>
  <c r="V26" s="1"/>
  <c r="V17"/>
  <c r="U22"/>
  <c r="V22" s="1"/>
  <c r="U29"/>
  <c r="V29" s="1"/>
  <c r="U23"/>
  <c r="V23" s="1"/>
  <c r="U24"/>
  <c r="V24" s="1"/>
  <c r="U27"/>
  <c r="V27" s="1"/>
  <c r="U19"/>
  <c r="V19" s="1"/>
  <c r="U15"/>
  <c r="V15" s="1"/>
  <c r="P33"/>
  <c r="U14"/>
  <c r="V14" s="1"/>
  <c r="N33"/>
  <c r="R33"/>
  <c r="U13"/>
  <c r="V13" s="1"/>
  <c r="T33"/>
  <c r="J33"/>
  <c r="H33"/>
  <c r="L33"/>
  <c r="U12"/>
  <c r="V12" s="1"/>
  <c r="F33"/>
  <c r="E33" s="1"/>
  <c r="D12"/>
  <c r="D28"/>
  <c r="D19"/>
  <c r="D20"/>
  <c r="D27"/>
  <c r="D25"/>
  <c r="D17"/>
  <c r="D24"/>
  <c r="D16"/>
  <c r="D22"/>
  <c r="D30"/>
  <c r="D15"/>
  <c r="D18"/>
  <c r="D23"/>
  <c r="D26"/>
  <c r="D31"/>
  <c r="D21"/>
  <c r="D29"/>
  <c r="D13"/>
  <c r="D14"/>
  <c r="U33" l="1"/>
  <c r="D33"/>
</calcChain>
</file>

<file path=xl/sharedStrings.xml><?xml version="1.0" encoding="utf-8"?>
<sst xmlns="http://schemas.openxmlformats.org/spreadsheetml/2006/main" count="2449" uniqueCount="665">
  <si>
    <t>ITEM</t>
  </si>
  <si>
    <t>LOUÇAS E METAIS</t>
  </si>
  <si>
    <t>ESQUADRIAS</t>
  </si>
  <si>
    <t>PINTURA</t>
  </si>
  <si>
    <t xml:space="preserve">Planilha Orçamentária 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</si>
  <si>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</si>
  <si>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</si>
  <si>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</si>
  <si>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</si>
  <si>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</si>
  <si>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</si>
  <si>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</si>
  <si>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</si>
  <si>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</si>
  <si>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5.1</t>
  </si>
  <si>
    <t>6.1</t>
  </si>
  <si>
    <t>6.2</t>
  </si>
  <si>
    <t>6.3</t>
  </si>
  <si>
    <t>6.4</t>
  </si>
  <si>
    <t>7.1</t>
  </si>
  <si>
    <t>8.1</t>
  </si>
  <si>
    <t>9.1</t>
  </si>
  <si>
    <t>9.2</t>
  </si>
  <si>
    <t>9.3</t>
  </si>
  <si>
    <t>10.1</t>
  </si>
  <si>
    <t>11.1</t>
  </si>
  <si>
    <t>11.2</t>
  </si>
  <si>
    <t>11.3</t>
  </si>
  <si>
    <t>12.1</t>
  </si>
  <si>
    <t>12.2</t>
  </si>
  <si>
    <t>14.1</t>
  </si>
  <si>
    <t>4.3</t>
  </si>
  <si>
    <t>DESCRIÇÃO DOS SERVIÇOS</t>
  </si>
  <si>
    <t>QUANT.</t>
  </si>
  <si>
    <t>VALOR (R$)</t>
  </si>
  <si>
    <t xml:space="preserve">SUPERESTRUTURA </t>
  </si>
  <si>
    <t>10.2</t>
  </si>
  <si>
    <t>1.3</t>
  </si>
  <si>
    <t>2.4</t>
  </si>
  <si>
    <t>11.5</t>
  </si>
  <si>
    <t>1.4</t>
  </si>
  <si>
    <t>SINAPI</t>
  </si>
  <si>
    <t>PORTAS DE MADEIRA</t>
  </si>
  <si>
    <t>FERRAGENS E ACESSÓRIOS</t>
  </si>
  <si>
    <t>JANELAS DE ALUMÍNIO</t>
  </si>
  <si>
    <t>VIDROS</t>
  </si>
  <si>
    <t>MERCADO</t>
  </si>
  <si>
    <t>SISTEMA DE VEDAÇÃO VERTICAL INTERNO E EXTERNO (PAREDES)</t>
  </si>
  <si>
    <t xml:space="preserve">SISTEMAS DE COBERTURA </t>
  </si>
  <si>
    <t>REVESTIMENTOS INTERNOS E EXTERNOS</t>
  </si>
  <si>
    <t>SISTEMAS DE PISOS INTERNOS E EXTERNOS (PAVIMENTAÇÃO)</t>
  </si>
  <si>
    <t>PAVIMENTAÇÃO EXTERNA</t>
  </si>
  <si>
    <t>INSTALAÇÃO SANITÁRIA</t>
  </si>
  <si>
    <t>SISTEMA DE PROTEÇÃO CONTRA DESCARGAS ATMOSFÉRICAS (SPDA)</t>
  </si>
  <si>
    <t>SERVIÇOS FINAIS</t>
  </si>
  <si>
    <t>16.1</t>
  </si>
  <si>
    <t>16.3</t>
  </si>
  <si>
    <t>16.4</t>
  </si>
  <si>
    <t>INSTALAÇÕES HIDRÁULICA</t>
  </si>
  <si>
    <t>SERVIÇOS COMPLEMENTARES</t>
  </si>
  <si>
    <t>CÓDIGO</t>
  </si>
  <si>
    <t>FONTE</t>
  </si>
  <si>
    <t xml:space="preserve">FUNDAÇÕES </t>
  </si>
  <si>
    <t>SISTEMA DE PROTEÇÃO CONTRA INCÊNCIO</t>
  </si>
  <si>
    <t>1.5</t>
  </si>
  <si>
    <t>1.6</t>
  </si>
  <si>
    <t>11.4</t>
  </si>
  <si>
    <t>ELETRODUTOS E ACESSÓRIOS</t>
  </si>
  <si>
    <t>4.4</t>
  </si>
  <si>
    <t>13.1</t>
  </si>
  <si>
    <t>13.2</t>
  </si>
  <si>
    <t>15.1</t>
  </si>
  <si>
    <t>15.2</t>
  </si>
  <si>
    <t>15.3</t>
  </si>
  <si>
    <t>15.4</t>
  </si>
  <si>
    <t>15.5</t>
  </si>
  <si>
    <t>18.1</t>
  </si>
  <si>
    <t>19.1</t>
  </si>
  <si>
    <t>17.1</t>
  </si>
  <si>
    <t>17.2</t>
  </si>
  <si>
    <t>17.3</t>
  </si>
  <si>
    <t>17.4</t>
  </si>
  <si>
    <t>18.2</t>
  </si>
  <si>
    <t>18.3</t>
  </si>
  <si>
    <t>CONCRETO ARMADO - LAJES E PILARES</t>
  </si>
  <si>
    <t>4.5</t>
  </si>
  <si>
    <t>16.2</t>
  </si>
  <si>
    <t>16.5</t>
  </si>
  <si>
    <t>18.4</t>
  </si>
  <si>
    <t>18.5</t>
  </si>
  <si>
    <t>cj</t>
  </si>
  <si>
    <t>INSTALAÇÕES DE AGUAS PLUVIAIS</t>
  </si>
  <si>
    <t>15.6</t>
  </si>
  <si>
    <t>15.7</t>
  </si>
  <si>
    <t>15.8</t>
  </si>
  <si>
    <t>15.9</t>
  </si>
  <si>
    <t>15.10</t>
  </si>
  <si>
    <t>15.11</t>
  </si>
  <si>
    <t>19.2</t>
  </si>
  <si>
    <t>20.1</t>
  </si>
  <si>
    <t>11.6</t>
  </si>
  <si>
    <t>11.7</t>
  </si>
  <si>
    <t>18.6</t>
  </si>
  <si>
    <t>3.1.1</t>
  </si>
  <si>
    <t>3.1.2</t>
  </si>
  <si>
    <t>3.1.3</t>
  </si>
  <si>
    <t>3.1.5</t>
  </si>
  <si>
    <t>3.2.1</t>
  </si>
  <si>
    <t>3.2.2</t>
  </si>
  <si>
    <t>3.2.3</t>
  </si>
  <si>
    <t>3.2.4</t>
  </si>
  <si>
    <t>2.5</t>
  </si>
  <si>
    <t>3.2.5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</si>
  <si>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</si>
  <si>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</si>
  <si>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</si>
  <si>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</si>
  <si>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</si>
  <si>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</si>
  <si>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</si>
  <si>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</si>
  <si>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</si>
  <si>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4.3.3</t>
  </si>
  <si>
    <t>4.3.4</t>
  </si>
  <si>
    <t>4.4.1</t>
  </si>
  <si>
    <t>4.4.2</t>
  </si>
  <si>
    <t>4.4.3</t>
  </si>
  <si>
    <t>4.4.4</t>
  </si>
  <si>
    <t>4.5.1</t>
  </si>
  <si>
    <t>6.1.1</t>
  </si>
  <si>
    <t>6.1.2</t>
  </si>
  <si>
    <t>6.2.1</t>
  </si>
  <si>
    <t>6.3.1</t>
  </si>
  <si>
    <t>6.3.2</t>
  </si>
  <si>
    <t>6.4.1</t>
  </si>
  <si>
    <t>7.2</t>
  </si>
  <si>
    <t>8.2</t>
  </si>
  <si>
    <t>10.1.1</t>
  </si>
  <si>
    <t>10.1.2</t>
  </si>
  <si>
    <t>10.1.3</t>
  </si>
  <si>
    <t>10.1.5</t>
  </si>
  <si>
    <t>10.2.1</t>
  </si>
  <si>
    <t>10.2.2</t>
  </si>
  <si>
    <t>IMPERMEABILIZAÇÃO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</si>
  <si>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</si>
  <si>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</si>
  <si>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</si>
  <si>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</si>
  <si>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</si>
  <si>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</si>
  <si>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</si>
  <si>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</si>
  <si>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</si>
  <si>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</si>
  <si>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</si>
  <si>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</si>
  <si>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</si>
  <si>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</si>
  <si>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</si>
  <si>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</si>
  <si>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</si>
  <si>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</si>
  <si>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</si>
  <si>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</si>
  <si>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</si>
  <si>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17.1.1</t>
  </si>
  <si>
    <t>17.1.2</t>
  </si>
  <si>
    <t>17.1.4</t>
  </si>
  <si>
    <t>17.1.5</t>
  </si>
  <si>
    <t>17.1.6</t>
  </si>
  <si>
    <t>17.1.7</t>
  </si>
  <si>
    <t>17.1.8</t>
  </si>
  <si>
    <t>17.1.9</t>
  </si>
  <si>
    <t>17.2.1</t>
  </si>
  <si>
    <t>17.2.2</t>
  </si>
  <si>
    <t>17.2.3</t>
  </si>
  <si>
    <t>17.2.4</t>
  </si>
  <si>
    <t>17.2.5</t>
  </si>
  <si>
    <t>17.2.6</t>
  </si>
  <si>
    <t>17.2.7</t>
  </si>
  <si>
    <t>17.2.8</t>
  </si>
  <si>
    <t>17.2.9</t>
  </si>
  <si>
    <t>17.2.10</t>
  </si>
  <si>
    <t>17.2.11</t>
  </si>
  <si>
    <t>17.2.12</t>
  </si>
  <si>
    <t>17.2.13</t>
  </si>
  <si>
    <t>17.2.14</t>
  </si>
  <si>
    <t>17.2.15</t>
  </si>
  <si>
    <t>17.2.16</t>
  </si>
  <si>
    <t>17.2.17</t>
  </si>
  <si>
    <t>17.2.18</t>
  </si>
  <si>
    <t>17.2.19</t>
  </si>
  <si>
    <t>17.2.20</t>
  </si>
  <si>
    <t>17.2.21</t>
  </si>
  <si>
    <t>17.3.1</t>
  </si>
  <si>
    <t>17.3.2</t>
  </si>
  <si>
    <t>17.3.3</t>
  </si>
  <si>
    <t>17.3.4</t>
  </si>
  <si>
    <t>17.4.1</t>
  </si>
  <si>
    <t>17.4.2</t>
  </si>
  <si>
    <t>17.4.3</t>
  </si>
  <si>
    <t>17.4.4</t>
  </si>
  <si>
    <t>17.4.5</t>
  </si>
  <si>
    <t>18.7</t>
  </si>
  <si>
    <t>18.8</t>
  </si>
  <si>
    <t>19.1.1</t>
  </si>
  <si>
    <t>19.1.2</t>
  </si>
  <si>
    <t>19.1.3</t>
  </si>
  <si>
    <t>19.1.4</t>
  </si>
  <si>
    <t>19.1.5</t>
  </si>
  <si>
    <t>19.2.1</t>
  </si>
  <si>
    <t>19.2.2</t>
  </si>
  <si>
    <t>20.2</t>
  </si>
  <si>
    <t>20.3</t>
  </si>
  <si>
    <t>20.4</t>
  </si>
  <si>
    <t>20.5</t>
  </si>
  <si>
    <t>FUNDAÇÕES</t>
  </si>
  <si>
    <t>SERVIÇOS PRELIMINARES</t>
  </si>
  <si>
    <t>4.2.4</t>
  </si>
  <si>
    <t>4.2.5</t>
  </si>
  <si>
    <t>PLANEJAMENTO</t>
  </si>
  <si>
    <t>% ITEM</t>
  </si>
  <si>
    <t xml:space="preserve">MOVIMENTO DE TERRAS </t>
  </si>
  <si>
    <t xml:space="preserve">IMPERMEABILIZAÇÃO </t>
  </si>
  <si>
    <t>INSTALAÇÕES ELÉTRICAS (110V/220V)</t>
  </si>
  <si>
    <t>Valores totais</t>
  </si>
  <si>
    <t>UN.</t>
  </si>
  <si>
    <t>MOVIMENTO DE TERRA PARA FUNDAÇÕES</t>
  </si>
  <si>
    <t>SISTEMAS DE VEDAÇÃO VERTICAL</t>
  </si>
  <si>
    <t>SISTEMAS DE COBERTURA</t>
  </si>
  <si>
    <t>REVESTIMENTOS INTERNO E EXTERNO</t>
  </si>
  <si>
    <t>SISTEMAS DE PISOS</t>
  </si>
  <si>
    <t>PINTURAS E ACABAMENTOS</t>
  </si>
  <si>
    <t>INSTALAÇÃO HIDRÁULICA</t>
  </si>
  <si>
    <t>DRENAGEM DE ÁGUAS PLUVIAIS</t>
  </si>
  <si>
    <t>LOUÇAS, ACESSÓRIOS E METAIS</t>
  </si>
  <si>
    <t>CABOS E FIOS CONDUTORES</t>
  </si>
  <si>
    <t>ILUMINAÇÃO, TOMADAS E INTERRUPTORES</t>
  </si>
  <si>
    <t>CONCRETO ARMADO - VIGAS BALDRAMES</t>
  </si>
  <si>
    <t>CONCRETO ARMADO - SAPATAS</t>
  </si>
  <si>
    <t>PAVIMENTAÇÃO INTERNA</t>
  </si>
  <si>
    <t>CONCRETO ARMADO - VERGAS E CONTRAVERGAS</t>
  </si>
  <si>
    <t>CENTRO DE DISTRIBUIÇÃO</t>
  </si>
  <si>
    <t>11.8</t>
  </si>
  <si>
    <t>REGISTROS E OUTROS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</si>
  <si>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</si>
  <si>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</si>
  <si>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</si>
  <si>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</si>
  <si>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</si>
  <si>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</si>
  <si>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</si>
  <si>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</si>
  <si>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</si>
  <si>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</si>
  <si>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</si>
  <si>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</si>
  <si>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</si>
  <si>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</si>
  <si>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</si>
  <si>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</si>
  <si>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</si>
  <si>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</si>
  <si>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</si>
  <si>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</si>
  <si>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</si>
  <si>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</si>
  <si>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</si>
  <si>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</si>
  <si>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</si>
  <si>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</si>
  <si>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</si>
  <si>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</si>
  <si>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CONCRETO ARMADO - LAJE DE PISO PARA QUADRA</t>
  </si>
  <si>
    <t>CONCRETO ARMADO - ARQUIBANCADAS E BANCOS</t>
  </si>
  <si>
    <t>CONCRETO ARMADO - VIGAS</t>
  </si>
  <si>
    <t>GERAL</t>
  </si>
  <si>
    <t>PORTÃO E GRADIL METÁLICO</t>
  </si>
  <si>
    <t>TUBULAÇÕES E CONEXÕES DE PVC</t>
  </si>
  <si>
    <t>CAIXAS E ACESSÓRIOS</t>
  </si>
  <si>
    <t>13.1.7</t>
  </si>
  <si>
    <t>13.1.8</t>
  </si>
  <si>
    <t>13.1.9</t>
  </si>
  <si>
    <t>13.1.10</t>
  </si>
  <si>
    <t>13.1.11</t>
  </si>
  <si>
    <t>CUSTO (R$)</t>
  </si>
  <si>
    <t>PREÇO (R$)</t>
  </si>
  <si>
    <t>Valor TOTAL com BDI</t>
  </si>
  <si>
    <t>INSTALAÇÃO ELÉTRICA - 110V</t>
  </si>
  <si>
    <t>QUADRA COBERTA COM VESTIÁRIO</t>
  </si>
  <si>
    <t>OBJETO:</t>
  </si>
  <si>
    <t>LOCAL:</t>
  </si>
  <si>
    <t>BAIRRO INFLUÊNCIA</t>
  </si>
  <si>
    <t>FORNECIMENTO E INSTALAÇÃO DE PLACA DE OBRA COM CHAPA GALVANIZADA E ESTRUTURA DE MADEIRA. AF_03/2022_PS</t>
  </si>
  <si>
    <t>BDI</t>
  </si>
  <si>
    <t>TAPUME COM TELHA METÁLICA. AF_03/2024</t>
  </si>
  <si>
    <t>LOCAÇÃO CONVENCIONAL DE OBRA, UTILIZANDO GABARITO DE TÁBUAS CORRIDAS PONTALETADAS A CADA 1,50M - 2 UTILIZAÇÕES. AF_03/2024</t>
  </si>
  <si>
    <t>LASTRO DE CONCRETO MAGRO, APLICADO EM BLOCOS DE COROAMENTO OU SAPATAS, ESPESSURA DE 3 CM. AF_01/2024</t>
  </si>
  <si>
    <t>FABRICAÇÃO DE FÔRMA , COM MADEIRA SERRADA.</t>
  </si>
  <si>
    <t>FABRICAÇÃO DE FÔRMA PARA LAJES, EM MADEIRA SERRADA, E=25 MM. AF_09/2020</t>
  </si>
  <si>
    <t>TELHAMENTO COM TELHA DE AÇO/ALUMÍNIO E = 0,5 MM, COM ATÉ 2 ÁGUAS, INCLUSO IÇAMENTO. AF_07/2019</t>
  </si>
  <si>
    <t>TRAMA DE AÇO COMPOSTA POR TERÇAS PARA TELHADOS DE ATÉ 2 ÁGUAS PARA TELHA METÁLICA, INCLUSO TRANSPORTE VERTICAL. AF_07/2019</t>
  </si>
  <si>
    <t xml:space="preserve">ARMAÇÃO UTILIZANDO AÇO CA-25 DE 10,0 MM - MONTAGEM. AF_06/2022 </t>
  </si>
  <si>
    <t>CONCRETO FCK = 25MPA, TRAÇO 1:2,3:2,7 (EM MASSA SECA DE CIMENTO/ AREIA MÉDIA/ BRITA 1) - PREPARO MECÂNICO COM BETONEIRA 400 L. AF_05/2021</t>
  </si>
  <si>
    <t xml:space="preserve">ARMAÇÃO UTILIZANDO AÇO CA-25 DE 6,3 MM - MONTAGEM. AF_06/2022 </t>
  </si>
  <si>
    <t>CONCRETAGEM DE VIGAS E LAJES, FCK=25 MPA, PARA LAJES PREMOLDADAS COM USO DE BOMBA - LANÇAMENTO, ADENSAMENTO E ACABAMENTO. AF_02/2022_PS</t>
  </si>
  <si>
    <t>CONCRETAGEM DE ESCADAS EM EDIFICAÇÕES MULTIFAMILIARES FEITAS COM SISTEMA DE FÔRMAS MANUSEÁVEIS - CONCRETO USINADO AUTOADENSÁVEL, FCK 25 MPA - LANÇAMENTO, ADENSAMENTO E ACABAMENTO. AF_10/2021</t>
  </si>
  <si>
    <t>CONCRETAGEM  LAJES, FCK=25 MPA, PARA LAJES MACIÇAS, COM USO DE BOMBA - LANÇAMENTO, ADENSAMENTO E ACABAMENTO. AF_02/2022_PS</t>
  </si>
  <si>
    <t>LAJE PRÉ-MOLDADA UNIDIRECIONAL, BIAPOIADA, PARA FORRO, ENCHIMENTO EM CERÂMICA, VIGOTA CONVENCIONAL, ALTURA TOTAL DA LAJE (ENCHIMENTO+CAPA) =(8+3). AF_11/2020_PA</t>
  </si>
  <si>
    <t>KG</t>
  </si>
  <si>
    <t xml:space="preserve">ARMAÇÃO PARA EXECUÇÃO DE RADIER, PISO DE CONCRETO OU LAJE SOBRE SOLO,COM USO DE TELA Q-92 (15 CM). AF_09/2021 </t>
  </si>
  <si>
    <t>VERGA MOLDADA IN LOCO EM CONCRETO, ESPESSURA DE *20* CM. AF_03/2024</t>
  </si>
  <si>
    <t xml:space="preserve">ATERRO MANUAL DE VALAS COM SOLO ARGILO-ARENOSO. AF_08/2023 </t>
  </si>
  <si>
    <t>ESCAVAÇÃO MANUAL DE VIGA DE BORDA PARA RADIER. AF_09/2021</t>
  </si>
  <si>
    <t>REATERRO MANUAL DE VALAS, COM COMPACTADOR DE SOLOS DE PERCUSSÃO. AF_08/2023</t>
  </si>
  <si>
    <t>ESCAVAÇÃO MANUAL PARA BLOCO DE COROAMENTO OU SAPATA (INCLUINDO ESCAVAÇÃO PARA COLOCAÇÃO DE FÔRMAS). AF_01/2024</t>
  </si>
  <si>
    <t>M2</t>
  </si>
  <si>
    <t>UN</t>
  </si>
  <si>
    <t>M</t>
  </si>
  <si>
    <t>M3</t>
  </si>
  <si>
    <t>PREPARO DE FUNDO DE VALA COM LARGURA MAIOR OU IGUAL A 1,5 M E MENOR QUE 2,5 M (ACERTO DO SOLO NATURAL). AF_08/2020</t>
  </si>
  <si>
    <t>DEMOLIÇÃO DE ALVENARIA DE BLOCO FURADO, DE FORMA MANUAL, SEM REAPROVEITAMENTO. AF_09/2023</t>
  </si>
  <si>
    <t>TRANSPORTE COM CAMINHÃO BASCULANTE DE 10 M³, EM VIA URBANA PAVIMENTADA , ADICIONAL PARA DMT EXCEDENTE A 30 KM (UNIDADE: M3XKM). AF_07/2020</t>
  </si>
  <si>
    <t>M3XKM</t>
  </si>
  <si>
    <t>ALVENARIA DE VEDAÇÃO DE BLOCOS CERÂMICOS FURADOS NA VERTICAL DE 9X19X39 CM (ESPESSURA 9 CM) E ARGAMASSA DE ASSENTAMENTO COM PREPARO MANUAL. AF_12/2021)</t>
  </si>
  <si>
    <t>PM3 - PM4 - PORTA EM ALUMÍNIO DE ABRIR TIPO VENEZIANA COM GUARNIÇÃO, FIXAÇÃO COM PARAFUSOS - FORNECIMENTO E INSTALAÇÃO. AF_12/2019</t>
  </si>
  <si>
    <t>CAMADA SEPARADORA PARA EXECUÇÃO DE RADIER, PISO DE CONCRETO OU LAJE SOBRE SOLO, EM LONA PLÁSTICA. AF_09/2021</t>
  </si>
  <si>
    <t>IMPERMEABILIZAÇÃO DE SUPERFÍCIE COM EMULSÃO ASFÁLTICA, 2 DEMÃOS. AF_09/2023</t>
  </si>
  <si>
    <t>CHAPISCO APLICADO EM ALVENARIA (COM PRESENÇA DE VÃOS) E ESTRUTURAS DE CONCRETO DE FACHADA, COM EQUIPAMENTO DE PROJEÇÃO. ARGAMASSA TRAÇO 1:3 COM PREPARO MANUAL. AF_10/2022</t>
  </si>
  <si>
    <t>MASSA ÚNICA, EM ARGAMASSA TRAÇO 1:2:8, PREPARO MANUAL, APLICADA MANUALMENTE EM PAREDES INTERNAS DE AMBIENTES COM ÁREA ENTRE 5M² E 10M², E =17,5MM, COM TALISCAS. AF_03/2024</t>
  </si>
  <si>
    <t>REVESTIMENTO CERÂMICO PARA PAREDES INTERNAS COM PLACAS TIPO ESMALTADA EXTRA DE DIMENSÕES 33X45 CM APLICADAS NA ALTURA INTEIRA DAS PAREDES. AF_02/2023_PE</t>
  </si>
  <si>
    <t>CONTRAPISO EM ARGAMASSA TRAÇO 1:4 (CIMENTO E AREIA), PREPARO MECÂNICO COM BETONEIRA 400 L, APLICADO EM ÁREAS SECAS SOBRE LAJE, ADERIDO, ACABAMENTO NÃO REFORÇADO, ESPESSURA 3CM. AF_07/2021</t>
  </si>
  <si>
    <t>10.1.6</t>
  </si>
  <si>
    <t>ACABAMENTO POLIDO PARA PISO DE CONCRETO ARMADO OU LAJE SOBRE SOLO DE ALTA RESISTÊNCIA. AF_09/2021</t>
  </si>
  <si>
    <t>REVESTIMENTO CERÂMICO PARA PISO COM PLACAS TIPO ESMALTADA EXTRA DE DIMENSÕES 60X60 CM APLICADA EM AMBIENTES DE ÁREA ENTRE 5 M2 E 10 M2. AF_02/2023_PE</t>
  </si>
  <si>
    <t>SOLEIRA EM GRANITO, LARGURA 15 CM, ESPESSURA 2,0 CM. AF_09/2020</t>
  </si>
  <si>
    <t>EXECUÇÃO DE PASSEIO (CALÇADA) OU PISO DE CONCRETO COM CONCRETO MOLDADO IN LOCO, FEITO EM OBRA, ACABAMENTO CONVENCIONAL, NÃO ARMADO. AF_08/2022</t>
  </si>
  <si>
    <t>RAMPA DE ACESSIBILIDADE PARA ACESSO A EDIFICAÇÕES COM INCLINAÇÃO DE 8,33% EM CONCRETO MOLDADO IN LOCO, COM LARGURA DE 1,50M, FCK 25MPA, NÃO ARMADA, COM JUNTA A CADA 2M COM CORTE À SECO. AF_03/2024_PA</t>
  </si>
  <si>
    <t>PINTURA LÁTEX ACRÍLICA PREMIUM, APLICAÇÃO MANUAL EM PAREDES, DUAS DEMÃOS. AF_04/2023</t>
  </si>
  <si>
    <t>FUNDO SELADOR ACRÍLICO, APLICAÇÃO MANUAL EM TETO, UMA DEMÃO. AF_04/2023</t>
  </si>
  <si>
    <t>FUNDO SELADOR ACRÍLICO, APLICAÇÃO MANUAL EM PAREDE, UMA DEMÃO. AF_04/2023</t>
  </si>
  <si>
    <t>PINTURA LÁTEX ACRÍLICA PREMIUM, APLICAÇÃO MANUAL EM TETO, DUAS DEMÃOS. AF_04/2023</t>
  </si>
  <si>
    <t>EMASSAMENTO COM MASSA LÁTEX, APLICAÇÃO EM TETO, UMA DEMÃO, LIXAMENTO MANUAL. AF_04/2023</t>
  </si>
  <si>
    <t>EMASSAMENTO COM MASSA LÁTEX, APLICAÇÃO EM PAREDE, UMA DEMÃO, LIXAMENTO MANUAL. AF_04/2023</t>
  </si>
  <si>
    <t>PINTURA DE PISO COM TINTA EPÓXI, APLICAÇÃO MANUAL, 2 DEMÃOS, INCLUSO PRIMER EPÓXI. AF_05/2021</t>
  </si>
  <si>
    <t>PINTURA DE DEMARCAÇÃO DE QUADRA POLIESPORTIVA COM TINTA EPÓXI, E = 5 CM, APLICAÇÃO MANUAL. AF_05/2021</t>
  </si>
  <si>
    <t>PINTURA COM TINTA EPOXÍDICA DE ACABAMENTO PULVERIZADA SOBRE PERFIL METÁLICO EXECUTADO EM FÁBRICA (POR DEMÃO). AF_01/2020_PE</t>
  </si>
  <si>
    <t>PINTURA COM TINTA ALQUÍDICA DE ACABAMENTO (ESMALTE SINTÉTICO ACETINADO) PULVERIZADA SOBRE SUPERFÍCIES METÁLICAS (EXCETO PERFIL) EXECUTADO EM OBRA (ESTRUTURA DO ALAMBRADO). AF_01/2020_PE</t>
  </si>
  <si>
    <t>11.9</t>
  </si>
  <si>
    <t>11.10</t>
  </si>
  <si>
    <t>CAIXA D´ÁGUA EM POLIETILENO, 2000 LITROS - FORNECIMENTO E INSTALAÇÃO. AF_06/2021</t>
  </si>
  <si>
    <t>ACRÉSCIMO PARA POÇO DE VISITA RETANGULAR PARA ESGOTO, EM ALVENARIA COM BLOCOS DE CONCRETO, DIMENSÕES INTERNAS = 1X1 M. AF_12/2020</t>
  </si>
  <si>
    <t xml:space="preserve"> UN </t>
  </si>
  <si>
    <t>VÁLVULA DE RETENÇÃO VERTICAL, DE BRONZE, ROSCÁVEL, 1" - FORNECIMENTO E INSTALAÇÃO. AF_08/2021</t>
  </si>
  <si>
    <t>TANQUE SÉPTICO CIRCULAR, EM CONCRETO PRÉ-MOLDADO, DIÂMETRO INTERNO = 1,40 M, ALTURA INTERNA = 2,50 M, VOLUME ÚTIL: 3463,6 L . AF_12/2020_PA</t>
  </si>
  <si>
    <t>SUMIDOURO CIRCULAR, EM CONCRETO PRÉ-MOLDADO, DIÂMETRO INTERNO = 2,38 M, ALTURA INTERNA = 3,0 M, ÁREA DE INFILTRAÇÃO: 25 M². AF_12/2020_PA</t>
  </si>
  <si>
    <t>PAPELEIRA DE PAREDE EM METAL CROMADO SEM TAMPA, INCLUSO FIXAÇÃO. AF_01/2020</t>
  </si>
  <si>
    <t xml:space="preserve">SABONETEIRA DE PAREDE EM METAL CROMADO, INCLUSO FIXAÇÃO. AF_01/2020 </t>
  </si>
  <si>
    <t xml:space="preserve">ASSENTO SANITÁRIO CONVENCIONAL - FORNECIMENTO E INSTALACAO. AF_01/2020 </t>
  </si>
  <si>
    <t>BANCO ARTICULADO, EM ACO INOX, PARA PCD, FIXADO NA PAREDE - FORNECIMENTO E INSTALAÇÃO. AF_01/2020</t>
  </si>
  <si>
    <t>ALAMBRADO PARA QUADRA POLIESPORTIVA, ESTRUTURADO POR TUBOS DE ACO GALVANIZADO, (MONTANTES COM DIAMETRO 2", TRAVESSAS E ESCORAS COM DIÂMETRO
1 ¼"), COM TELA DE ARAME GALVANIZADO, FIO 12 BWG E MALHA QUADRADA 5X5C
M (EXCETO MURETA). AF_03/2021</t>
  </si>
  <si>
    <t>BARRA DE APOIO RETA, EM ACO INOX POLIDO, COMPRIMENTO 80 CM, FIXADA NA PAREDE - FORNECIMENTO E INSTALAÇÃO. AF_01/2020</t>
  </si>
  <si>
    <t>LUMINÁRIA TIPO PLAFON CIRCULAR, DE SOBREPOR, COM LED DE 12/13 W - FORNECIMENTO E INSTALAÇÃO. AF_03/2022</t>
  </si>
  <si>
    <t>PM2 - PORTA DE MADEIRA PARA PINTURA, SEMI-OCA (LEVE OU MÉDIA), DIMENSÕES 90X210CM, ESPESSURA 3,5CM; INCLUSO DOBRADIÇAS, BATENTES E FECHADURA</t>
  </si>
  <si>
    <t>TUBO PVC SOLDÁVEL Ø 20MM, FORNECIMENTO E INSTALAÇÃO</t>
  </si>
  <si>
    <t>TUBO PVC SOLDÁVEL Ø 25MM, FORNECIMENTO E INSTALAÇÃO</t>
  </si>
  <si>
    <t>TUBO PVC SOLDÁVEL Ø 32MM, FORNECIMENTO E INSTALAÇÃO</t>
  </si>
  <si>
    <t>TUBO PVC SOLDÁVEL Ø 40MM, FORNECIMENTO E INSTALAÇÃO</t>
  </si>
  <si>
    <t>TUBO PVC SOLDÁVEL Ø 50MM, FORNECIMENTO E INSTALAÇÃO</t>
  </si>
  <si>
    <t>JOELHO PVC 90º SOLDÁVEL Ø 25MM, FORNECIMENTO E INSTALAÇÃO</t>
  </si>
  <si>
    <t>JOELHO PVC 90º SOLDÁVEL Ø 32MM, FORNECIMENTO E INSTALAÇÃO</t>
  </si>
  <si>
    <t>JOELHO PVC 90º SOLDÁVEL Ø 50MM, FORNECIMENTO E INSTALAÇÃO</t>
  </si>
  <si>
    <t>JOELHO PVC 90ª SOLDÁVEL COM BUCHA DE LATÃO 40MM X 1¼", FORNECIMENTO E INSTALAÇÃO</t>
  </si>
  <si>
    <t>JOELHO PVC DE REDUÇÃO 90º SOLDÁVEL COM BUCHA DE LATÃO 25MM X 1/2", FORNECIMENTO E INSTALAÇÃO</t>
  </si>
  <si>
    <t>TÊ PVC DE REDUÇÃO SOLDÁVEL 32MM X 25MM, FORNECIMENTO E INSTALAÇÃO</t>
  </si>
  <si>
    <t>TÊ PVC DE REDUÇÃO SOLDÁVEL 50MM X 40MM, FORNECIMENTO E INSTALAÇÃO</t>
  </si>
  <si>
    <t>LUVA SOLDÁVEL COM ROSCA 25MM X ¾", FORNECIMENTO E INSTALAÇÃO</t>
  </si>
  <si>
    <t>LUVA SOLDÁVEL Ø 32MM, FORNECIMENTO E INSTALAÇÃO</t>
  </si>
  <si>
    <t>LUVA REDUÇÃO SOLDÁVEL 40MM X 32MM, FORNECIMENTO E INSTALAÇÃO</t>
  </si>
  <si>
    <t>LUVA REDUÇÃO SOLDÁVEL 50MM X 40MM, FORNECIMENTO E INSTALAÇÃO</t>
  </si>
  <si>
    <t>BUCHA PVC DE REDUÇÃO SOLDÁVEL CURTA 50MM X 40MM, FORNECIMENTO E INSTALAÇÃO</t>
  </si>
  <si>
    <t>BUCHA PVC DE REDUÇÃO SOLDÁVEL LONGA 40MM X 25MM, FORNECIMENTO E INSTALAÇÃO</t>
  </si>
  <si>
    <t>UNIÃO SOLDÁVEL Ø 20MM, FORNECIMENTO E INSTALAÇÃO</t>
  </si>
  <si>
    <t>UNIÃO SOLDÁVEL Ø 50MM, FORNECIMENTO E INSTALAÇÃO</t>
  </si>
  <si>
    <t>REGISTRO DE GAVETA BRUTO Ø ¾", FORNECIMENTO E INSTALAÇÃO</t>
  </si>
  <si>
    <t>REGISTRO DE GAVETA BRUTO Ø 1½", FORNECIMENTO E INSTALAÇÃO</t>
  </si>
  <si>
    <t>REGISTRO DE GAVETA COM CANOPLA CROMADA 1½", FORNECIMENTO E INSTALAÇÃO</t>
  </si>
  <si>
    <t>REGISTRO DE GAVETA COM CANOPLA CROMADA 1¼", FORNECIMENTO E INSTALAÇÃO</t>
  </si>
  <si>
    <t>REGISTRO DE GAVETA COM CANOPLA CROMADA 1", FORNECIMENTO E INSTALAÇÃO</t>
  </si>
  <si>
    <t>REGISTRO DE GAVETA COM CANOPLA CROMADA ¾", FORNECIMENTO E INSTALAÇÃO</t>
  </si>
  <si>
    <t>REGISTRO DE PRESSÃO COM CANOPLA Ø ¾", FORNECIMENTO E INSTALAÇÃO</t>
  </si>
  <si>
    <t>ADAPTADOR PVC SOLDÁVEL Ø 25MM X ¾" PARA REGISTRO, FORNECIMENTO E INSTALAÇÃO</t>
  </si>
  <si>
    <t>ADAPTADOR PVC SOLDÁVEL Ø 32MM X 1" PARA REGISTRO, FORNECIMENTO E INSTALAÇÃO</t>
  </si>
  <si>
    <t>ADAPTADOR PVC SOLDÁVEL  Ø 40MM X 1½" PARA REGISTRO, FORNECIMENTO E INSTALAÇÃO</t>
  </si>
  <si>
    <t>ADAPTADOR PVC SOLDÁVEL Ø 50MM X 1½" PARA REGISTRO, FORNECIMENTO E INSTALAÇÃO</t>
  </si>
  <si>
    <t>ENGATE FLEXÍVEL PLÁSTICO ½" X 30CM, FORNECIMENTO E INSTALAÇÃO</t>
  </si>
  <si>
    <t>FLANGE PARA CAIXA D'ÁGUA Ø 25MM, FORNECIMENTO E INSTALAÇÃO</t>
  </si>
  <si>
    <t>FLANGE PARA CAIXA D'ÁGUA Ø 50MM, FORNECIMENTO E INSTALAÇÃO</t>
  </si>
  <si>
    <t>TUBO DE PVC SÉRIE NORMAL Ø 40MM, FORNECIMENTO E INSTALAÇÃO</t>
  </si>
  <si>
    <t>TUBO DE PVC SÉRIE NORMAL Ø 50MM, FORNECIMENTO E INSTALAÇÃO</t>
  </si>
  <si>
    <t>TUBO DE PVC SÉRIE NORMAL Ø 100MM, FORNECIMENTO E INSTALAÇÃO</t>
  </si>
  <si>
    <t>JOELHO PVC 45º Ø 40MM, FORNECIMENTO E INSTALAÇÃO</t>
  </si>
  <si>
    <t>JOELHO PVC 90º Ø 100MM, FORNECIMENTO E INSTALAÇÃO</t>
  </si>
  <si>
    <t>JOELHO PVC 90º COM ANEL 40MM X 1½", FORNECIMENTO E INSTALAÇÃO</t>
  </si>
  <si>
    <t>JUNÇÃO PVC ESGOTO 50MM X 40MM, FORNECIMENTO E INSTALAÇÃO</t>
  </si>
  <si>
    <t>JUNÇÃO PVC ESGOTO 100MM X 50MM, FORNECIMENTO E INSTALAÇÃO</t>
  </si>
  <si>
    <t>JUNÇÃO PVC SIMPLES 100MM X 100MM, FORNECIMENTO E INSTALAÇÃO</t>
  </si>
  <si>
    <t>CURVA CURTA PVC 45º Ø 100MM, FORNECIMENTO E INSTALAÇÃO</t>
  </si>
  <si>
    <t>CURVA CURTA PVC 90º Ø 40MM, FORNECIMENTO E INSTALAÇÃO</t>
  </si>
  <si>
    <t>CAIXA SIFONADA 150X150X50MM, FORNECIMENTO E INSTALAÇÃO</t>
  </si>
  <si>
    <t>RALO SECO PVC RÍGIDO 100MM X 40MM, FORNECIMENTO E INSTALAÇÃO</t>
  </si>
  <si>
    <t>TERMINAL DE VENTILAÇÃO SÉRIE NORMAL Ø 50MM, FORNECIMENTO E INSTALAÇÃO</t>
  </si>
  <si>
    <t>SIFÃO PVC TIPO COPO 1" X 1½", FORNECIMENTO E INSTALAÇÃO</t>
  </si>
  <si>
    <t>CUBA DE EMBUTIR OVAL EM LOUÇA BRANCA, FORNECIMENTO E INSTALAÇÃO</t>
  </si>
  <si>
    <t>LAVATÓRIO PEQUENO RAVENA/IZY COR BRANCO GELO, CÓDIGO L.915; DECA OU EQUIVALENTE</t>
  </si>
  <si>
    <t>TORNEIRA PARA LAVATÓRIO DE MESA BICA BAIXA IZY, CÓDIGO 1193.C37; DECA OU EQUIVALENTE</t>
  </si>
  <si>
    <t>TORNEIRA DE PAREDE DE USO GERAL PARA JARDIM OU TANQUE, FORNECIMENTO E INSTALAÇÃO</t>
  </si>
  <si>
    <t>CHUVEIRO MAXI DUCHA COM DESVIADOR PARA DUCHAS ELÉTRICAS, LORENZETTI OU EQUIVALENTE</t>
  </si>
  <si>
    <t>MARCAÇÃO DE PISO PARA LOCALIZAÇÃO DE EXTINTOR, DIMENSÕES 100X100CM</t>
  </si>
  <si>
    <t>PLACA DE SINALIZAÇÃO EM PVC FOTOLUMINESCENTE, "SAÍDA DE EMERGÊNCIA"</t>
  </si>
  <si>
    <t>PLACA DE SINALIZAÇÃO EM PVC FOTOLUMINESCENTE, "EXTINTOR DE INCÊNDIO"</t>
  </si>
  <si>
    <t>QUADRO DE DISTRIBUIÇÃO DE ENERGIA PARA 12 DISJUNTORES, FORNECIMENTO E INSTALAÇÃO</t>
  </si>
  <si>
    <t>QUADRO DE DISTRIBUIÇÃO DE ENERGIA PARA 24 DISJUNTORES, FORNECIMENTO E INSTALAÇÃO</t>
  </si>
  <si>
    <t>DISJUNTOR TERMOMAGNÉTICO MONOPOLAR 10A, FORNECIMENTO E INSTALAÇÃO</t>
  </si>
  <si>
    <t>DISJUNTOR TERMOMAGNÉTICO MONOPOLAR 20A, FORNECIMENTO E INSTALAÇÃO</t>
  </si>
  <si>
    <t>DISJUNTOR TERMOMAGNÉTICO MONOPOLAR 25A, FORNECIMENTO E INSTALAÇÃO</t>
  </si>
  <si>
    <t>DISJUNTOR TERMOMAGNÉTICO TRIPOLAR 100A, FORNECIMENTO E INSTALAÇÃO</t>
  </si>
  <si>
    <t>DISJUNTOR TERMOMAGNÉTICO TRIPOLAR 150A, FORNECIMENTO E INSTALAÇÃO</t>
  </si>
  <si>
    <t>DISPOSITIVO DE PROTEÇÃO CONTRA SURTOS DE TENSÃO 40KA/350V, FORNECIMENTO E INSTALAÇÃO</t>
  </si>
  <si>
    <t>ELETRODUTO PVC FLEXÍVEL CORRUGADO REFORÇADO Ø 25MM, FORNECIMENTO E INSTALAÇÃO</t>
  </si>
  <si>
    <t>ELETRODUTO PVC FLEXÍVEL CORRUGADO REFORÇADO Ø 32MM, FORNECIMENTO E INSTALAÇÃO</t>
  </si>
  <si>
    <t>ELETRODUTO PVC RÍGIDO ROSCÁVEL  Ø 40MM, FORNECIMENTO E INSTALAÇÃO</t>
  </si>
  <si>
    <t>CONDULETE ¾” EM LIGA DE ALUMÍNIO FUNDIDO TIPO T, FORNECIMENTO E INSTALAÇÃO</t>
  </si>
  <si>
    <t>CONDULETE ¾” EM LIGA DE ALUMÍNIO FUNDIDO TIPO LL, FORNECIMENTO E INSTALAÇÃO</t>
  </si>
  <si>
    <t>CONDULETE ¾” EM LIGA DE ALUMÍNIO FUNDIDO TIPO TA, FORNECIMENTO E INSTALAÇÃO</t>
  </si>
  <si>
    <t>CONDULETE ¾” EM LIGA DE ALUMÍNIO FUNDIDO TIPO XA, FORNECIMENTO E INSTALAÇÃO</t>
  </si>
  <si>
    <t>ABRAÇADEIRA METÁLICA TIPO D DE ¾", FORNECIMENTO E INSTALAÇÃO</t>
  </si>
  <si>
    <t>ABRAÇADEIRA METÁLICA TIPO D DE 1", FORNECIMENTO E INSTALAÇÃO</t>
  </si>
  <si>
    <t>ABRAÇADEIRA METÁLICA TIPO D DE 1½", FORNECIMENTO E INSTALAÇÃO</t>
  </si>
  <si>
    <t>BUCHA E ARRUELA DE AÇO GALVANIZADO ¾", FORNECIMENTO E INSTALAÇÃO</t>
  </si>
  <si>
    <t>BUCHA E ARRUELA DE AÇO GALVANIZADO 1", FORNECIMENTO E INSTALAÇÃO</t>
  </si>
  <si>
    <t>BUCHA E ARRUELADE AÇO GALVANIZADO 1½", FORNECIMENTO E INSTALAÇÃO</t>
  </si>
  <si>
    <t>LUVA DE FERRO GALVANIZADO ¾", FORNECIMENTO E INSTALAÇÃO</t>
  </si>
  <si>
    <t>LUVA DE FERRO GALVANIZADO 1", FORNECIMENTO E INSTALAÇÃO</t>
  </si>
  <si>
    <t>LUVA DE FERRO GALVANIZADO 1½", FORNECIMENTO E INSTALAÇÃO</t>
  </si>
  <si>
    <t>CAIXA DE PASSAGEM  DE FERRO ESMALTADA 4X2", FORNECIMENTO E INSTALAÇÃO</t>
  </si>
  <si>
    <t>CAIXA DE PASSAGEM OCTOGONAL 4X4" EM CHAPA GALVANIZADA, FORNECIMENTO E INSTALAÇÃO</t>
  </si>
  <si>
    <t>CABO DE COBRE FLEXÍVEL, ISOLADO, SEÇÃO DE 2,5MM²; ANTI-CHAMA 450/750V</t>
  </si>
  <si>
    <t>CABO DE COBRE FLEXÍVEL, ISOLADO, SEÇÃO DE 4MM²; ANTI-CHAMA 450/750V</t>
  </si>
  <si>
    <t>CABO DE COBRE FLEXÍVEL, ISOLADO, SEÇÃO DE 16MM²; ANTI-CHAMA 450/750V</t>
  </si>
  <si>
    <t>CABO DE COBRE FLEXÍVEL, ISOLADO, SEÇÃO DE 35MM²; ANTI-CHAMA 450/750V</t>
  </si>
  <si>
    <t>TOMADA UNIVERSAL 2P+T 10A/250V COM SUPORTE E PLACA, FORNECIMENTO E INSTALAÇÃO</t>
  </si>
  <si>
    <t>TOMADA UNIVERSAL 2P+T 20A/250V COM SUPORTE E PLACA, FORNECIMENTO E INSTALAÇÃO</t>
  </si>
  <si>
    <t>INTERRUPTOR SIMPLES 1 TECLA 10A/250V COM SUPORTE E PLACA, FORNECIMENTO E INSTALAÇÃO</t>
  </si>
  <si>
    <t>ATERRAMENTO COMPLETO COM HASTE TIPO COPPERWELD ¾"X2,40M; INCLUSO CAIXA, CONECTOR E CABO DE COBRE NU 25MM²; FORNECIMENTO E INSTALAÇÃO</t>
  </si>
  <si>
    <t>CAIXA DE EQUALIZAÇÃO DE POTÊNCIAS DE EMBUTIR, FORNECIMENTO E INSTALAÇÃO</t>
  </si>
  <si>
    <t>CORDOALHA DE COBRE NU 35MM², FORNECIMENTO E INSTALAÇÃO</t>
  </si>
  <si>
    <t>CORDOALHA DE COBRE NU 50MM², FORNECIMENTO E INSTALAÇÃO</t>
  </si>
  <si>
    <t>ELETRODUTO DE PVC RÍGIDO Ø 50MM, FORNECIMENTO E INSTALAÇÃO</t>
  </si>
  <si>
    <t>CONECTOR DE BRONZE PARA 2 CABOS 5/8" TEL-580, FORNECIMENTO E INSTALAÇÃO</t>
  </si>
  <si>
    <t>CONECTOR DE MEDIÇÃO, BRONZE TEL-560, FORNECIMENTO E INSTALAÇÃO</t>
  </si>
  <si>
    <t>TERMINAL DE PRESSÃO TIPO PRENSA COM 4 PARAFUSOS, FORNECIMENTO E INSTALAÇÃO</t>
  </si>
  <si>
    <t>LIMPEZA DE AZULEJO</t>
  </si>
  <si>
    <t>LIMPEZA DE VIDRO COMUM</t>
  </si>
  <si>
    <t>LIMPEZA DE PISO CERÂMICO</t>
  </si>
  <si>
    <t>LIMPEZA GERAL DE QUADRA POLIESPORTIVA</t>
  </si>
  <si>
    <t>1.7</t>
  </si>
  <si>
    <t>1.8</t>
  </si>
  <si>
    <t>LIGAÇÃO DE ÁGUA PROVISÓRIA PARA CANTEIRO, INCLUSIVE HIDRÔMETRO E CAVALETE PARA MEDIÇÃO DE ÁGUA - ENTRADA PRINCIPAL, EM AÇO GALVANIZADO DN 20MM (1/2") - PADRÃO
CONCESSIONÁRIA</t>
  </si>
  <si>
    <t>SETOP</t>
  </si>
  <si>
    <t>ED-50150</t>
  </si>
  <si>
    <t>ED-50151</t>
  </si>
  <si>
    <t>LIGAÇÃO PROVISÓRIA COM ENTRADA DE ENERGIA AÉREA, CARGA INSTALADA DE 15,1KVA ATÉ 30KVA, TRIFÁSICO, COM SAÍDA SUBTERRÂNEA, INCLUSIVE POSTE, CAIXA PARA MEDIDOR, DISJUNTOR, BARRAMENTO, ATERRAMENTO E ACESSÓRIOS</t>
  </si>
  <si>
    <t>ED-50135</t>
  </si>
  <si>
    <t>BARRACÃO DE OBRA, EM CHAPA DE COMPENSADO RESINADO, INCLUSIVE INSTALAÇÕES SANITÁRIAS E MOBILIÁRIO.</t>
  </si>
  <si>
    <t xml:space="preserve">ED-51151 </t>
  </si>
  <si>
    <t>ESPELHO CRISTAL COM MOLDURA EM ALUMÍNIO, DIMENSÃO (60X90)CM, COM ESP. 4MM, INCLUSIVE FIXAÇÃO COM ADESIVO/SELANTE A BASE DE POLIURETANO, FORNECIMENTO E
INSTALAÇÃO</t>
  </si>
  <si>
    <t>DUCHA HIGIÊNICA COM REGISTRO PARA CONTROLE DE FLUXO DE ÁGUA, DIÂMETRO 1/2" (20MM), INCLUSIVE FORNECIMENTO E INSTALAÇÃO</t>
  </si>
  <si>
    <t>ED-50316</t>
  </si>
  <si>
    <t xml:space="preserve">ED-50190 </t>
  </si>
  <si>
    <t>EXTINTOR DE GÁS CARBÔNICO 5-B:C, CAPACIDADE 6 KG</t>
  </si>
  <si>
    <t xml:space="preserve">ED-26993 </t>
  </si>
  <si>
    <t>LUMINÁRIA DE EMERGÊNCIA AUTÔNOMA, TIPO LED COM DOIS FARÓIS, POTÊNCIA TOTAL DE 8W, FORNECIMENTO E INSTALAÇÃO</t>
  </si>
  <si>
    <t>ED-50194</t>
  </si>
  <si>
    <t>ED-29386</t>
  </si>
  <si>
    <t xml:space="preserve">ED-50635 </t>
  </si>
  <si>
    <t>PLACA DE ALUMÍNIO FUNDIDO, DIMENSÃO (85X50)CM, PARA INAUGURAÇÃO, INCLUSIVE FIXAÇÃO</t>
  </si>
  <si>
    <t>ED-50986</t>
  </si>
  <si>
    <t>PORTÃO EM TUBO DE AÇO GALVANIZADO COM COSTURA, DIÂMETRO DE 1.1/2" (38,1MM), ESP. 2MM, COM TELA QUADRICULADA ONDULADA, TRAMA DE 1/2" (12,70MM), FIO 12 (2,77MM), EXCLUSIVE CADEADO E PINTURA</t>
  </si>
  <si>
    <t>BANCADA EM GRANITO CINZA ANDORINHA E = 3 CM, APOIADA EM  ALVENARIA</t>
  </si>
  <si>
    <t>ED-48344</t>
  </si>
  <si>
    <t xml:space="preserve">ED-49574 </t>
  </si>
  <si>
    <t xml:space="preserve">TABELA DE BASQUETE EM POSTE METÁLICO E SUPORTE DE PISO </t>
  </si>
  <si>
    <t xml:space="preserve">ED-49569 </t>
  </si>
  <si>
    <t>TRAVE DE GOL EM TUBO GALVANIZADO PARA QUADRA, INCLUSIVE REDE E PINTURA</t>
  </si>
  <si>
    <t>REDE DE VÔLEI COM MASTRO EM TUBO GALVANIZADO SEM
PEDESTAL</t>
  </si>
  <si>
    <t>ED-49572</t>
  </si>
  <si>
    <t>CJ</t>
  </si>
  <si>
    <t>CORRIMÃO INTERMEDIÁRIO DUPLO EM TUBO GALVANIZADO, COM COSTURA, DIÂMETRO 1.1/2", ESP. 3MM, FIXADO EM PISO COM MONTANTE VERTICAL, DIÂMETRO 1.1/2", INCLUSIVE SUPORTE
PARA CORRIMÃO EM BARRA CHATA (1"X1/2"), EXCLUSIVE PINTURA</t>
  </si>
  <si>
    <t>ED-32002</t>
  </si>
  <si>
    <t>ED-51052</t>
  </si>
  <si>
    <t>LUMINÁRIA DE LED PARA ILUMINAÇÃO PÚBLICA, DE 98 W ATÉ 137 W - FORNECIMENTO E INSTALAÇÃO. AF_08/2020 ( COM GRADE DE PRTEÇÃO)</t>
  </si>
  <si>
    <t>ELETRODUTO DE AÇO GALVANIZADO LEVE, INCLUSIVE CONEXÕES, SUPORTES E FIXAÇÃO DN 25 (1")</t>
  </si>
  <si>
    <t>ED-49318</t>
  </si>
  <si>
    <t>ELETRODUTO DE AÇO GALVANIZADO MÉDIO, INCLUSIVE CONEXÕES, SUPORTES E FIXAÇÃO DN 32 (1.1/4")</t>
  </si>
  <si>
    <t>ED-49319</t>
  </si>
  <si>
    <t>ELETRODUTO DE AÇO GALVANIZADO MÉDIO, INCLUSIVE CONEXÕES, SUPORTES E FIXAÇÃO DN 40 (1.1/2")</t>
  </si>
  <si>
    <t>ED-49320</t>
  </si>
  <si>
    <t>ED-49097</t>
  </si>
  <si>
    <t>1.9</t>
  </si>
  <si>
    <t>ED-9075</t>
  </si>
  <si>
    <t>FORNECIMENTO DE ANDAIME METÁLICO PARA FACHADA (LOCAÇÃO), INCLUSIVE PISO METÁLICO E SAPATAS.</t>
  </si>
  <si>
    <t>M2XMÊS</t>
  </si>
  <si>
    <t>JA-1 JANELA DE ALUMÍNIO TIPO MAXIM-AR, COM VIDROS, BATENTE E FERRAGENS. EXCLUSIVE ALIZAR, ACABAMENTO E CONTRAMARCO. FORNECIMENTO E INSTALAÇÃO. AF_12/2019</t>
  </si>
  <si>
    <t>CONTRAMARCO DE ALUMÍNIO, FIXAÇÃO COM ARGAMASSA - FORNECIMENTO E INSTALAÇÃO. AF_12/2019</t>
  </si>
  <si>
    <t>https://www.ilumisul.com.br/ProdutoId_6956,29/Material-Eletrico/Disjuntores/DIspositivo-De-Protecao-Contra-Surtos-DPS/Dispositivo-De-Protecao-Contra-Surtos-DPS-II-40KA-350V-5SD7-461-0---Siemens.html</t>
  </si>
  <si>
    <t>https://www.lojaeletrica.com.br/abracadeira-galvanizada-tipo-d-com-cunha-fixac-o-eletrodutos-3-4.html</t>
  </si>
  <si>
    <t>https://express.nortel.com.br/grampo-terra-haste-cabo-bz-2cabos-16-70mm2-tel0580yt/p</t>
  </si>
  <si>
    <t>https://lojaeletropaulo.com.br/para-raios/5529-conector-de-medicao-e-emenda-16-a-70mm-560-termotecnica-1644.html</t>
  </si>
  <si>
    <t>https://www.lojaagrometal.com.br/produto/terminal-pressao-4-parafusos-35-120mm-tc004-mci-tecnocabo-74829</t>
  </si>
  <si>
    <t>REFERÊNCIAS:</t>
  </si>
  <si>
    <t>SINAPI DESONERADO DATA 13/06/2024, SETOP DESONERADO 08/2023 E MERCADO</t>
  </si>
  <si>
    <t>PRAZO DE EXECUÇÃO:</t>
  </si>
  <si>
    <t>Carmo, 01 de agosto de 2024</t>
  </si>
  <si>
    <t>C</t>
  </si>
  <si>
    <t>L</t>
  </si>
  <si>
    <t>CÁLCULO</t>
  </si>
  <si>
    <t>OBSERVAÇÕES</t>
  </si>
  <si>
    <t>MEMÓRIA DE CÁLCULO</t>
  </si>
  <si>
    <t>TOTAL</t>
  </si>
  <si>
    <t>P</t>
  </si>
  <si>
    <t>H</t>
  </si>
  <si>
    <t>E</t>
  </si>
  <si>
    <t>KM</t>
  </si>
  <si>
    <t>MESES</t>
  </si>
  <si>
    <t>KG/SAP.</t>
  </si>
  <si>
    <t>VASO SANITARIO SIFONADO CONVENCIONAL COM LOUÇA BRANCA, INCLUSO CONJUNTO DE LIGAÇÃO PARA BACIA SANITÁRIA AJUSTÁVEL - FORNECIMENTO E INSTALAÇÃO. AF_01/2020</t>
  </si>
  <si>
    <t>VASO SANITARIO SIFONADO CONVENCIONAL PARA PCD SEM FURO FRONTAL COM LOUÇA BRANCA SEM ASSENTO, INCLUSO CONJUNTO DE LIGAÇÃO PARA BACIA SANITÁRIA AJUSTÁVEL - FORNECIMENTO E INSTALAÇÃO. AF_01/2020</t>
  </si>
  <si>
    <t>15.12</t>
  </si>
  <si>
    <t>ESTRUTURA TRELIÇADA DE COBERTURA, TIPO ARCO, COM LIGAÇÕES SOLDADAS, INCLUSOS PERFIS METÁLICOS, CHAPAS METÁLICAS, MÃO DE OBRA E TRANSPORTE COM GUINDASTE - FORNECIMENTO E INSTALAÇÃO. AF_01/2020_PSA</t>
  </si>
  <si>
    <t>PILAR METÁLICO PERFIL LAMINADO/SOLDADO EM AÇO ESTRUTURAL, COM CONEXÕES PARAFUSADAS, INCLUSOS MÃO DE OBRA, TRANSPORTE E IÇAMENTO UTILIZANDO GUINDASTE - FORNECIMENTO E INSTALAÇÃO. AF_01/2020_PSA</t>
  </si>
  <si>
    <t>7.3</t>
  </si>
  <si>
    <t>7.4</t>
  </si>
  <si>
    <t>CALHA EM CHAPA DE AÇO GALVANIZADO NÚMERO 24, DESENVOLVIMENTO DE 100 CM, INCLUSO TRANSPORTE VERTICAL. AF_07/2019</t>
  </si>
  <si>
    <t>TUBO PVC, SÉRIE R, ÁGUA PLUVIAL, DN 100 MM, FORNECIDO E INSTALADO EM CONDUTORES VERTICAIS DE ÁGUAS PLUVIAIS. AF_06/2022</t>
  </si>
  <si>
    <t>14.2</t>
  </si>
  <si>
    <t>14.3</t>
  </si>
  <si>
    <t>ALVENARIA DE VEDAÇÃO DE BLOCOS VAZADOS DE CONCRETO DE 19X19X39 CM (ESPESSURA 19 CM) E ARGAMASSA DE ASSENTAMENTO COM PREPARO EM BETONEIRA. AF_12/2021</t>
  </si>
  <si>
    <t>ALVENARIA DE VEDAÇÃO DE BLOCOS VAZADOS DE CONCRETO DE 9X19X39 CM (ESPESSURA 9 CM) E ARGAMASSA DE ASSENTAMENTO COM PREPARO EM BETONEIRA. AF_12/2021</t>
  </si>
  <si>
    <t>5.2</t>
  </si>
  <si>
    <t>5.3</t>
  </si>
  <si>
    <t>SUPERESTRUTURA</t>
  </si>
  <si>
    <t>CONFORME PROJETO</t>
  </si>
  <si>
    <t>CONFORME PRJETO</t>
  </si>
  <si>
    <t>PRÓXIMO AOS VESTIÁRIOS</t>
  </si>
  <si>
    <t>PRÓXIMO A SAÍDA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</si>
  <si>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</si>
  <si>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</si>
  <si>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</si>
  <si>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</si>
  <si>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</si>
  <si>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</si>
  <si>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</si>
  <si>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</si>
  <si>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%</t>
  </si>
  <si>
    <t>R$</t>
  </si>
  <si>
    <t>CRONOGRAMA FÍSICO FINANCEIRO</t>
  </si>
  <si>
    <r>
      <t>Obra</t>
    </r>
    <r>
      <rPr>
        <sz val="11"/>
        <rFont val="Arial"/>
        <family val="2"/>
      </rPr>
      <t>: QUADRA COBERTA COM VESTIÁRIO</t>
    </r>
  </si>
  <si>
    <r>
      <t>Município</t>
    </r>
    <r>
      <rPr>
        <sz val="11"/>
        <rFont val="Arial"/>
        <family val="2"/>
      </rPr>
      <t>: CARMO - RJ</t>
    </r>
  </si>
  <si>
    <r>
      <t>Endereço</t>
    </r>
    <r>
      <rPr>
        <sz val="11"/>
        <rFont val="Arial"/>
        <family val="2"/>
      </rPr>
      <t>: BAIRRO INFLUÊNCIA</t>
    </r>
  </si>
  <si>
    <t>Carmo, 01 de agosto de 2024.</t>
  </si>
  <si>
    <t>Instalada na entrada</t>
  </si>
  <si>
    <t>isolamento da obra</t>
  </si>
  <si>
    <t>Mureta existente</t>
  </si>
  <si>
    <t>limpeza da obra</t>
  </si>
  <si>
    <t>S1</t>
  </si>
  <si>
    <t>S2</t>
  </si>
  <si>
    <t>S3</t>
  </si>
  <si>
    <t>S4</t>
  </si>
  <si>
    <t xml:space="preserve">Cobertura </t>
  </si>
  <si>
    <t xml:space="preserve">Quadra </t>
  </si>
  <si>
    <t>Vestiário</t>
  </si>
  <si>
    <t>Rampa</t>
  </si>
  <si>
    <t>COM REAPROVEITAMENTO</t>
  </si>
  <si>
    <t>COM REAPROVEITEMENTO</t>
  </si>
  <si>
    <t>M/ESTR.</t>
  </si>
  <si>
    <t>Nº ESTR.</t>
  </si>
  <si>
    <t>PESO</t>
  </si>
  <si>
    <t>Geral, com reaproveitamento</t>
  </si>
  <si>
    <t>Paredes dos fundos</t>
  </si>
  <si>
    <t>(H)PILAR</t>
  </si>
  <si>
    <t>(H) ARRAN.</t>
  </si>
  <si>
    <t>ARRAN. + PILAR (H)</t>
  </si>
  <si>
    <t>Muro de contenção</t>
  </si>
  <si>
    <t>PM1 - PORTA DE MADEIRA PARA PINTURA, SEMI-OCA (LEVE OU MÉDIA), DIMENSÕES 90X210CM, ESPESSURA 3,5CM; INCLUSO DOBRADIÇAS, BATENTES E FECHADURA</t>
  </si>
  <si>
    <t>PM2 - PM4 - PORTA EM ALUMÍNIO DE ABRIR TIPO VENEZIANA COM GUARNIÇÃO, FIXAÇÃO COM PARAFUSOS - FORNECIMENTO E INSTALAÇÃO. AF_12/2019</t>
  </si>
  <si>
    <t>PNE</t>
  </si>
  <si>
    <t>KG/M2</t>
  </si>
  <si>
    <t>Somente área da quadra</t>
  </si>
  <si>
    <t>Borda</t>
  </si>
  <si>
    <t>Divisórias dos vestiários</t>
  </si>
  <si>
    <t>Vestiários</t>
  </si>
  <si>
    <t>Mureta da quadra</t>
  </si>
  <si>
    <t>Arquibancada</t>
  </si>
  <si>
    <t>Platibenda</t>
  </si>
  <si>
    <t>Parede de conteção (fundos)</t>
  </si>
  <si>
    <t>Abertura da quadra</t>
  </si>
  <si>
    <t>Em torno da quadra</t>
  </si>
  <si>
    <t>Janelas</t>
  </si>
  <si>
    <t>Depósito</t>
  </si>
  <si>
    <t>Entrada dos vestiários e depósito</t>
  </si>
  <si>
    <t>Paredes int. dos vestiários</t>
  </si>
  <si>
    <t>Divisória dos Vestiários</t>
  </si>
  <si>
    <t>Barrado externo</t>
  </si>
  <si>
    <t>Platibanda</t>
  </si>
  <si>
    <t>Drenagem do corredor</t>
  </si>
  <si>
    <t>Descida das calhas</t>
  </si>
  <si>
    <t>Fundos</t>
  </si>
  <si>
    <t>Lateral</t>
  </si>
  <si>
    <t>Conforme legislação tributária municipal, definir estimativa de percentual da base de cálculo para o ISS:</t>
  </si>
  <si>
    <t>Sobre a base de cálculo, definir a respectiva alíquota do ISS (entre 2% e 5%):</t>
  </si>
  <si>
    <t>TIPO DE OBRA</t>
  </si>
  <si>
    <t>Construção e Reforma de Edifícios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</si>
  <si>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</si>
  <si>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</si>
  <si>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</si>
  <si>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</si>
  <si>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</si>
  <si>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</si>
  <si>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</si>
  <si>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</si>
  <si>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</si>
  <si>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</si>
  <si>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</si>
  <si>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</si>
  <si>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</si>
  <si>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</si>
  <si>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</si>
  <si>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</si>
  <si>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</si>
  <si>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</si>
  <si>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</si>
  <si>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</si>
  <si>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</si>
  <si>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</si>
  <si>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 xml:space="preserve">BDI </t>
  </si>
  <si>
    <t>Nathan Xavier de Araújo</t>
  </si>
  <si>
    <t>CREA: 2022106534</t>
  </si>
  <si>
    <t>E1</t>
  </si>
  <si>
    <t>S2,E1</t>
  </si>
  <si>
    <t>Paredes externas dos vestiários</t>
  </si>
  <si>
    <t>Parede de fundo da quadra</t>
  </si>
  <si>
    <t>Externa</t>
  </si>
  <si>
    <t>Interna</t>
  </si>
  <si>
    <t>No emtorno da quadra</t>
  </si>
  <si>
    <t>Área dos vestiários</t>
  </si>
  <si>
    <t>Parede externa dos vestiários</t>
  </si>
  <si>
    <t>CANALETA PARA DRENAGEM, EM CONCRETO COM FCK 15MPA, MOLDADA IN LOCO, SEÇÃO 30X20CM, FORMA EM CONTRA BARRANCO, EXCLUSIVE TAMPA, INCLUSIVE ESCAVAÇÃO,
REATERRO COM TRANSPORTE E RETIRADA DO MATERIAL ESCAVADO (EM CAÇAMBA)</t>
  </si>
  <si>
    <t>ED-14728</t>
  </si>
  <si>
    <t>Piso da quadra</t>
  </si>
  <si>
    <t>Demarcação da quadra</t>
  </si>
  <si>
    <t>Estrutura do telhado</t>
  </si>
  <si>
    <t>Soldas dos tubos do alambrado</t>
  </si>
  <si>
    <t>RELATÓRIO FOTOGRÁFICO</t>
  </si>
  <si>
    <t>08 MESES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</si>
</sst>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&quot;R$ &quot;* #,##0.00_);_(&quot;R$ &quot;* \(#,##0.00\);_(&quot;R$ &quot;* \-??_);_(@_)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04">
    <xf numFmtId="0" fontId="0" fillId="0" borderId="0"/>
    <xf numFmtId="0" fontId="16" fillId="0" borderId="0" applyNumberFormat="0" applyBorder="0" applyProtection="0"/>
    <xf numFmtId="0" fontId="16" fillId="0" borderId="0" applyNumberFormat="0" applyBorder="0" applyProtection="0"/>
    <xf numFmtId="165" fontId="16" fillId="0" borderId="0" applyBorder="0" applyProtection="0"/>
    <xf numFmtId="165" fontId="16" fillId="0" borderId="0" applyBorder="0" applyProtection="0"/>
    <xf numFmtId="0" fontId="9" fillId="0" borderId="0"/>
    <xf numFmtId="0" fontId="16" fillId="0" borderId="0" applyNumberFormat="0" applyBorder="0" applyProtection="0"/>
    <xf numFmtId="0" fontId="17" fillId="0" borderId="0" applyNumberFormat="0" applyBorder="0" applyProtection="0"/>
    <xf numFmtId="166" fontId="17" fillId="0" borderId="0" applyBorder="0" applyProtection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6" fillId="0" borderId="0"/>
    <xf numFmtId="0" fontId="19" fillId="0" borderId="0"/>
    <xf numFmtId="0" fontId="6" fillId="0" borderId="0"/>
    <xf numFmtId="0" fontId="1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Border="0" applyProtection="0"/>
    <xf numFmtId="167" fontId="20" fillId="0" borderId="0" applyBorder="0" applyProtection="0"/>
    <xf numFmtId="164" fontId="6" fillId="0" borderId="0" applyFont="0" applyFill="0" applyBorder="0" applyAlignment="0" applyProtection="0"/>
    <xf numFmtId="165" fontId="16" fillId="0" borderId="0" applyBorder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168" fontId="6" fillId="0" borderId="0" applyFont="0" applyFill="0" applyBorder="0" applyAlignment="0" applyProtection="0"/>
    <xf numFmtId="169" fontId="22" fillId="0" borderId="0">
      <protection locked="0"/>
    </xf>
    <xf numFmtId="0" fontId="7" fillId="6" borderId="5" applyFill="0" applyBorder="0" applyAlignment="0" applyProtection="0">
      <alignment vertical="center"/>
      <protection locked="0"/>
    </xf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9" fillId="0" borderId="0"/>
    <xf numFmtId="173" fontId="22" fillId="0" borderId="0">
      <protection locked="0"/>
    </xf>
    <xf numFmtId="173" fontId="22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38" fontId="13" fillId="2" borderId="0" applyNumberFormat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10" fontId="13" fillId="7" borderId="1" applyNumberFormat="0" applyBorder="0" applyAlignment="0" applyProtection="0"/>
    <xf numFmtId="0" fontId="6" fillId="0" borderId="0">
      <alignment horizontal="centerContinuous" vertical="justify"/>
    </xf>
    <xf numFmtId="0" fontId="26" fillId="0" borderId="0" applyAlignment="0">
      <alignment horizontal="center"/>
    </xf>
    <xf numFmtId="44" fontId="10" fillId="0" borderId="0" applyFont="0" applyFill="0" applyBorder="0" applyAlignment="0" applyProtection="0"/>
    <xf numFmtId="174" fontId="2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>
      <alignment horizontal="left" vertical="center" indent="12"/>
    </xf>
    <xf numFmtId="0" fontId="13" fillId="0" borderId="5" applyBorder="0">
      <alignment horizontal="left" vertical="center" wrapText="1" indent="2"/>
      <protection locked="0"/>
    </xf>
    <xf numFmtId="0" fontId="13" fillId="0" borderId="5" applyBorder="0">
      <alignment horizontal="left" vertical="center" wrapText="1" indent="3"/>
      <protection locked="0"/>
    </xf>
    <xf numFmtId="10" fontId="6" fillId="0" borderId="0" applyFont="0" applyFill="0" applyBorder="0" applyAlignment="0" applyProtection="0"/>
    <xf numFmtId="175" fontId="22" fillId="0" borderId="0">
      <protection locked="0"/>
    </xf>
    <xf numFmtId="175" fontId="22" fillId="0" borderId="0">
      <protection locked="0"/>
    </xf>
    <xf numFmtId="176" fontId="22" fillId="0" borderId="0">
      <protection locked="0"/>
    </xf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29" fillId="0" borderId="0" applyFont="0" applyFill="0" applyBorder="0" applyAlignment="0" applyProtection="0"/>
    <xf numFmtId="177" fontId="30" fillId="0" borderId="0">
      <protection locked="0"/>
    </xf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9" fillId="0" borderId="0"/>
    <xf numFmtId="0" fontId="31" fillId="0" borderId="0">
      <protection locked="0"/>
    </xf>
    <xf numFmtId="0" fontId="31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32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>
      <alignment horizontal="centerContinuous" vertical="justify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43" fillId="0" borderId="0"/>
    <xf numFmtId="179" fontId="5" fillId="0" borderId="0" applyFill="0" applyBorder="0" applyAlignment="0" applyProtection="0"/>
  </cellStyleXfs>
  <cellXfs count="59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1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1" xfId="11" applyFont="1" applyFill="1" applyBorder="1" applyAlignment="1">
      <alignment horizontal="center"/>
    </xf>
    <xf numFmtId="0" fontId="7" fillId="2" borderId="1" xfId="11" applyFont="1" applyFill="1" applyBorder="1" applyAlignment="1">
      <alignment vertical="center"/>
    </xf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center"/>
    </xf>
    <xf numFmtId="0" fontId="7" fillId="0" borderId="0" xfId="11" applyFont="1" applyAlignment="1">
      <alignment horizontal="center" vertical="center"/>
    </xf>
    <xf numFmtId="0" fontId="7" fillId="0" borderId="1" xfId="11" applyFont="1" applyBorder="1" applyAlignment="1">
      <alignment horizontal="center"/>
    </xf>
    <xf numFmtId="0" fontId="7" fillId="0" borderId="1" xfId="11" applyFont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0" borderId="1" xfId="11" applyFont="1" applyBorder="1" applyAlignment="1">
      <alignment vertical="center"/>
    </xf>
    <xf numFmtId="0" fontId="7" fillId="0" borderId="1" xfId="11" applyFont="1" applyBorder="1" applyAlignment="1">
      <alignment vertical="center" wrapText="1"/>
    </xf>
    <xf numFmtId="0" fontId="7" fillId="0" borderId="3" xfId="11" applyFont="1" applyBorder="1" applyAlignment="1">
      <alignment horizontal="center"/>
    </xf>
    <xf numFmtId="0" fontId="7" fillId="0" borderId="3" xfId="11" applyFont="1" applyBorder="1" applyAlignment="1">
      <alignment vertical="center"/>
    </xf>
    <xf numFmtId="0" fontId="7" fillId="0" borderId="1" xfId="11" applyFont="1" applyBorder="1" applyAlignment="1">
      <alignment horizontal="center" vertical="center" wrapText="1"/>
    </xf>
    <xf numFmtId="164" fontId="7" fillId="0" borderId="0" xfId="30" applyFont="1" applyFill="1" applyBorder="1" applyAlignment="1">
      <alignment horizontal="center" vertical="center"/>
    </xf>
    <xf numFmtId="164" fontId="7" fillId="2" borderId="1" xfId="30" applyFont="1" applyFill="1" applyBorder="1" applyAlignment="1">
      <alignment vertical="center"/>
    </xf>
    <xf numFmtId="164" fontId="7" fillId="0" borderId="3" xfId="3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11" applyFont="1" applyAlignment="1">
      <alignment vertical="center" wrapText="1"/>
    </xf>
    <xf numFmtId="49" fontId="7" fillId="4" borderId="7" xfId="11" applyNumberFormat="1" applyFont="1" applyFill="1" applyBorder="1" applyAlignment="1">
      <alignment horizontal="center" vertical="center"/>
    </xf>
    <xf numFmtId="49" fontId="7" fillId="4" borderId="11" xfId="11" applyNumberFormat="1" applyFont="1" applyFill="1" applyBorder="1" applyAlignment="1">
      <alignment horizontal="center" vertical="center"/>
    </xf>
    <xf numFmtId="164" fontId="7" fillId="4" borderId="11" xfId="30" applyFont="1" applyFill="1" applyBorder="1" applyAlignment="1">
      <alignment horizontal="center" vertical="center"/>
    </xf>
    <xf numFmtId="164" fontId="7" fillId="0" borderId="0" xfId="25" applyFont="1" applyFill="1" applyBorder="1" applyAlignment="1">
      <alignment horizontal="center" vertical="center" wrapText="1"/>
    </xf>
    <xf numFmtId="164" fontId="7" fillId="0" borderId="0" xfId="25" applyFont="1" applyFill="1" applyBorder="1" applyAlignment="1">
      <alignment horizontal="center" vertical="center"/>
    </xf>
    <xf numFmtId="164" fontId="7" fillId="0" borderId="0" xfId="25" applyFont="1" applyFill="1" applyBorder="1" applyAlignment="1">
      <alignment vertical="center"/>
    </xf>
    <xf numFmtId="164" fontId="7" fillId="4" borderId="12" xfId="25" applyFont="1" applyFill="1" applyBorder="1" applyAlignment="1">
      <alignment horizontal="center" vertical="center" wrapText="1"/>
    </xf>
    <xf numFmtId="164" fontId="7" fillId="2" borderId="1" xfId="25" applyFont="1" applyFill="1" applyBorder="1" applyAlignment="1">
      <alignment vertical="center"/>
    </xf>
    <xf numFmtId="164" fontId="7" fillId="0" borderId="0" xfId="25" applyFont="1" applyFill="1" applyBorder="1" applyAlignment="1">
      <alignment vertical="center" wrapText="1"/>
    </xf>
    <xf numFmtId="164" fontId="7" fillId="0" borderId="0" xfId="25" applyFont="1" applyBorder="1" applyAlignment="1">
      <alignment horizontal="right" vertical="center"/>
    </xf>
    <xf numFmtId="164" fontId="7" fillId="4" borderId="1" xfId="25" applyFont="1" applyFill="1" applyBorder="1" applyAlignment="1">
      <alignment horizontal="right" vertical="center"/>
    </xf>
    <xf numFmtId="164" fontId="7" fillId="0" borderId="0" xfId="25" applyFont="1" applyFill="1" applyBorder="1" applyAlignment="1">
      <alignment horizontal="right" vertical="center"/>
    </xf>
    <xf numFmtId="164" fontId="7" fillId="4" borderId="11" xfId="25" applyFont="1" applyFill="1" applyBorder="1" applyAlignment="1">
      <alignment horizontal="center" vertical="center" wrapText="1"/>
    </xf>
    <xf numFmtId="164" fontId="7" fillId="2" borderId="1" xfId="25" applyFont="1" applyFill="1" applyBorder="1" applyAlignment="1">
      <alignment horizontal="right" vertical="center"/>
    </xf>
    <xf numFmtId="164" fontId="7" fillId="0" borderId="0" xfId="25" applyFont="1" applyFill="1" applyBorder="1" applyAlignment="1">
      <alignment horizontal="right" vertical="center" wrapText="1"/>
    </xf>
    <xf numFmtId="164" fontId="7" fillId="0" borderId="3" xfId="25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11" applyFont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left" vertical="center" wrapText="1"/>
    </xf>
    <xf numFmtId="0" fontId="5" fillId="0" borderId="1" xfId="1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74" applyBorder="1" applyAlignment="1">
      <alignment horizontal="center" vertical="center"/>
    </xf>
    <xf numFmtId="0" fontId="5" fillId="0" borderId="1" xfId="174" applyBorder="1" applyAlignment="1">
      <alignment horizontal="center" vertical="center" wrapText="1"/>
    </xf>
    <xf numFmtId="0" fontId="5" fillId="3" borderId="1" xfId="174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174" applyNumberFormat="1" applyBorder="1" applyAlignment="1">
      <alignment horizontal="center" vertical="center" wrapText="1"/>
    </xf>
    <xf numFmtId="0" fontId="5" fillId="3" borderId="1" xfId="1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174" applyAlignment="1">
      <alignment vertical="center"/>
    </xf>
    <xf numFmtId="0" fontId="5" fillId="0" borderId="0" xfId="174" applyAlignment="1">
      <alignment horizontal="left" vertical="center"/>
    </xf>
    <xf numFmtId="0" fontId="5" fillId="0" borderId="0" xfId="174" applyAlignment="1">
      <alignment horizontal="center" vertical="center"/>
    </xf>
    <xf numFmtId="0" fontId="7" fillId="0" borderId="0" xfId="174" applyFont="1" applyAlignment="1">
      <alignment vertical="center"/>
    </xf>
    <xf numFmtId="164" fontId="7" fillId="0" borderId="0" xfId="175" applyFont="1" applyBorder="1" applyAlignment="1">
      <alignment horizontal="center" vertical="center"/>
    </xf>
    <xf numFmtId="164" fontId="5" fillId="0" borderId="0" xfId="29" applyFont="1" applyFill="1" applyAlignment="1">
      <alignment vertical="center"/>
    </xf>
    <xf numFmtId="0" fontId="7" fillId="0" borderId="1" xfId="174" applyFont="1" applyBorder="1" applyAlignment="1">
      <alignment horizontal="center" vertical="center"/>
    </xf>
    <xf numFmtId="0" fontId="7" fillId="0" borderId="1" xfId="174" applyFont="1" applyBorder="1" applyAlignment="1">
      <alignment vertical="center"/>
    </xf>
    <xf numFmtId="164" fontId="5" fillId="0" borderId="1" xfId="29" applyFont="1" applyFill="1" applyBorder="1" applyAlignment="1">
      <alignment horizontal="right" vertical="center"/>
    </xf>
    <xf numFmtId="164" fontId="5" fillId="0" borderId="1" xfId="29" applyFont="1" applyFill="1" applyBorder="1" applyAlignment="1">
      <alignment vertical="center"/>
    </xf>
    <xf numFmtId="0" fontId="5" fillId="0" borderId="1" xfId="174" applyBorder="1" applyAlignment="1">
      <alignment vertical="center"/>
    </xf>
    <xf numFmtId="164" fontId="5" fillId="0" borderId="0" xfId="25" applyFont="1" applyFill="1" applyAlignment="1">
      <alignment vertical="center"/>
    </xf>
    <xf numFmtId="0" fontId="5" fillId="0" borderId="0" xfId="0" applyFont="1" applyAlignment="1">
      <alignment vertical="center"/>
    </xf>
    <xf numFmtId="164" fontId="5" fillId="0" borderId="1" xfId="25" applyFont="1" applyBorder="1" applyAlignment="1">
      <alignment horizontal="right" vertical="center"/>
    </xf>
    <xf numFmtId="0" fontId="7" fillId="3" borderId="1" xfId="174" applyFont="1" applyFill="1" applyBorder="1" applyAlignment="1">
      <alignment horizontal="center" vertical="center"/>
    </xf>
    <xf numFmtId="0" fontId="5" fillId="3" borderId="1" xfId="174" applyFill="1" applyBorder="1" applyAlignment="1">
      <alignment vertical="center"/>
    </xf>
    <xf numFmtId="0" fontId="5" fillId="3" borderId="0" xfId="174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0" xfId="30" applyFont="1" applyFill="1" applyAlignment="1">
      <alignment horizontal="left" vertical="center"/>
    </xf>
    <xf numFmtId="0" fontId="11" fillId="0" borderId="1" xfId="7" applyFont="1" applyBorder="1" applyAlignment="1">
      <alignment horizontal="center" vertical="center" wrapText="1"/>
    </xf>
    <xf numFmtId="164" fontId="5" fillId="3" borderId="1" xfId="29" applyFont="1" applyFill="1" applyBorder="1" applyAlignment="1">
      <alignment vertical="center"/>
    </xf>
    <xf numFmtId="0" fontId="5" fillId="0" borderId="1" xfId="174" applyBorder="1" applyAlignment="1">
      <alignment horizontal="left" vertical="center" wrapText="1"/>
    </xf>
    <xf numFmtId="164" fontId="5" fillId="0" borderId="0" xfId="25" applyFont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30" applyFont="1" applyAlignment="1">
      <alignment horizontal="center" vertical="center"/>
    </xf>
    <xf numFmtId="164" fontId="5" fillId="0" borderId="0" xfId="25" applyFont="1" applyAlignment="1">
      <alignment vertical="center"/>
    </xf>
    <xf numFmtId="0" fontId="7" fillId="2" borderId="1" xfId="174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25" quotePrefix="1" applyFont="1" applyFill="1" applyBorder="1" applyAlignment="1">
      <alignment horizontal="right" vertical="center"/>
    </xf>
    <xf numFmtId="0" fontId="11" fillId="0" borderId="1" xfId="7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1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30" applyNumberFormat="1" applyFont="1" applyFill="1" applyBorder="1" applyAlignment="1">
      <alignment horizontal="right" vertical="center"/>
    </xf>
    <xf numFmtId="164" fontId="5" fillId="0" borderId="0" xfId="25" applyFont="1" applyBorder="1" applyAlignment="1">
      <alignment horizontal="right" vertical="center"/>
    </xf>
    <xf numFmtId="164" fontId="5" fillId="0" borderId="1" xfId="30" applyFont="1" applyFill="1" applyBorder="1" applyAlignment="1">
      <alignment vertical="center"/>
    </xf>
    <xf numFmtId="164" fontId="5" fillId="0" borderId="1" xfId="25" applyFont="1" applyFill="1" applyBorder="1" applyAlignment="1">
      <alignment horizontal="right" vertical="center"/>
    </xf>
    <xf numFmtId="164" fontId="5" fillId="0" borderId="1" xfId="30" applyFont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0" fontId="5" fillId="0" borderId="1" xfId="1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2" fontId="5" fillId="0" borderId="1" xfId="11" applyNumberFormat="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3" xfId="11" applyFont="1" applyFill="1" applyBorder="1" applyAlignment="1">
      <alignment horizontal="center" vertical="center" wrapText="1"/>
    </xf>
    <xf numFmtId="0" fontId="5" fillId="0" borderId="10" xfId="174" applyBorder="1" applyAlignment="1">
      <alignment horizontal="left" vertical="center" wrapText="1"/>
    </xf>
    <xf numFmtId="0" fontId="7" fillId="3" borderId="1" xfId="174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30" applyFont="1" applyBorder="1" applyAlignment="1">
      <alignment horizontal="right" vertical="center"/>
    </xf>
    <xf numFmtId="0" fontId="7" fillId="0" borderId="3" xfId="174" applyFont="1" applyBorder="1" applyAlignment="1">
      <alignment vertical="center"/>
    </xf>
    <xf numFmtId="0" fontId="5" fillId="3" borderId="1" xfId="11" applyFont="1" applyFill="1" applyBorder="1" applyAlignment="1">
      <alignment horizontal="center" vertical="center" wrapText="1"/>
    </xf>
    <xf numFmtId="0" fontId="7" fillId="0" borderId="1" xfId="174" applyFont="1" applyBorder="1" applyAlignment="1">
      <alignment horizontal="left" vertical="center" wrapText="1"/>
    </xf>
    <xf numFmtId="0" fontId="5" fillId="0" borderId="10" xfId="174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25" applyFont="1" applyBorder="1" applyAlignment="1">
      <alignment horizontal="right" vertical="center" wrapText="1"/>
    </xf>
    <xf numFmtId="164" fontId="5" fillId="0" borderId="0" xfId="30" applyFont="1" applyAlignment="1">
      <alignment horizontal="right" vertical="center"/>
    </xf>
    <xf numFmtId="164" fontId="34" fillId="0" borderId="0" xfId="29" applyFont="1" applyFill="1" applyAlignment="1">
      <alignment horizontal="left" vertical="center"/>
    </xf>
    <xf numFmtId="164" fontId="33" fillId="0" borderId="0" xfId="25" applyFont="1" applyAlignment="1">
      <alignment horizontal="center" vertical="center"/>
    </xf>
    <xf numFmtId="9" fontId="33" fillId="0" borderId="0" xfId="32" applyFont="1" applyFill="1" applyBorder="1" applyAlignment="1">
      <alignment horizontal="center" vertical="center"/>
    </xf>
    <xf numFmtId="0" fontId="5" fillId="0" borderId="10" xfId="11" applyFont="1" applyBorder="1" applyAlignment="1">
      <alignment horizontal="left" vertical="center" wrapText="1"/>
    </xf>
    <xf numFmtId="0" fontId="35" fillId="0" borderId="0" xfId="301"/>
    <xf numFmtId="164" fontId="5" fillId="0" borderId="0" xfId="25" applyFont="1" applyFill="1" applyAlignment="1">
      <alignment horizontal="center" vertical="center"/>
    </xf>
    <xf numFmtId="164" fontId="36" fillId="0" borderId="0" xfId="29" applyFont="1" applyFill="1" applyAlignment="1">
      <alignment horizontal="left" vertical="center"/>
    </xf>
    <xf numFmtId="164" fontId="37" fillId="0" borderId="0" xfId="29" applyFont="1" applyFill="1" applyAlignment="1">
      <alignment horizontal="left" vertical="center"/>
    </xf>
    <xf numFmtId="164" fontId="33" fillId="0" borderId="0" xfId="25" applyFont="1" applyAlignment="1">
      <alignment vertical="center"/>
    </xf>
    <xf numFmtId="164" fontId="5" fillId="0" borderId="0" xfId="25" applyFont="1" applyAlignment="1">
      <alignment horizontal="center" vertical="center"/>
    </xf>
    <xf numFmtId="4" fontId="5" fillId="0" borderId="0" xfId="30" applyNumberFormat="1" applyFont="1" applyFill="1" applyBorder="1" applyAlignment="1">
      <alignment horizontal="center" vertical="center"/>
    </xf>
    <xf numFmtId="164" fontId="5" fillId="0" borderId="0" xfId="25" applyFont="1" applyBorder="1" applyAlignment="1">
      <alignment horizontal="center" vertical="center"/>
    </xf>
    <xf numFmtId="164" fontId="7" fillId="0" borderId="0" xfId="25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1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1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64" fontId="5" fillId="0" borderId="22" xfId="25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1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164" fontId="5" fillId="0" borderId="25" xfId="25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164" fontId="5" fillId="0" borderId="30" xfId="25" applyFont="1" applyBorder="1" applyAlignment="1">
      <alignment horizontal="center" vertical="center"/>
    </xf>
    <xf numFmtId="0" fontId="7" fillId="2" borderId="31" xfId="174" applyFont="1" applyFill="1" applyBorder="1" applyAlignment="1">
      <alignment vertical="center"/>
    </xf>
    <xf numFmtId="164" fontId="7" fillId="2" borderId="33" xfId="25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164" fontId="5" fillId="0" borderId="20" xfId="25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164" fontId="5" fillId="0" borderId="36" xfId="25" applyFont="1" applyBorder="1" applyAlignment="1">
      <alignment horizontal="center" vertical="center"/>
    </xf>
    <xf numFmtId="0" fontId="5" fillId="0" borderId="19" xfId="1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29" xfId="11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29" xfId="11" applyFont="1" applyBorder="1" applyAlignment="1">
      <alignment horizontal="center" vertical="center" wrapText="1"/>
    </xf>
    <xf numFmtId="0" fontId="7" fillId="2" borderId="39" xfId="11" applyFont="1" applyFill="1" applyBorder="1" applyAlignment="1">
      <alignment horizontal="center" vertical="center"/>
    </xf>
    <xf numFmtId="0" fontId="7" fillId="2" borderId="32" xfId="11" applyFont="1" applyFill="1" applyBorder="1" applyAlignment="1">
      <alignment horizontal="center"/>
    </xf>
    <xf numFmtId="0" fontId="7" fillId="2" borderId="32" xfId="174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1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4" fontId="7" fillId="0" borderId="0" xfId="11" applyNumberFormat="1" applyFont="1" applyAlignment="1">
      <alignment horizontal="center" vertical="center" wrapText="1"/>
    </xf>
    <xf numFmtId="4" fontId="7" fillId="0" borderId="0" xfId="25" applyNumberFormat="1" applyFont="1" applyFill="1" applyBorder="1" applyAlignment="1">
      <alignment horizontal="center" vertical="center" wrapText="1"/>
    </xf>
    <xf numFmtId="4" fontId="34" fillId="0" borderId="0" xfId="29" applyNumberFormat="1" applyFont="1" applyFill="1" applyAlignment="1">
      <alignment horizontal="left" vertical="center"/>
    </xf>
    <xf numFmtId="4" fontId="5" fillId="0" borderId="0" xfId="29" applyNumberFormat="1" applyFont="1" applyFill="1" applyAlignment="1">
      <alignment horizontal="center" vertical="center"/>
    </xf>
    <xf numFmtId="4" fontId="5" fillId="0" borderId="0" xfId="25" applyNumberFormat="1" applyFont="1" applyFill="1" applyAlignment="1">
      <alignment horizontal="center" vertical="center"/>
    </xf>
    <xf numFmtId="4" fontId="5" fillId="0" borderId="0" xfId="30" applyNumberFormat="1" applyFont="1" applyFill="1" applyAlignment="1">
      <alignment horizontal="center" vertical="center"/>
    </xf>
    <xf numFmtId="4" fontId="34" fillId="0" borderId="0" xfId="29" applyNumberFormat="1" applyFont="1" applyFill="1" applyAlignment="1">
      <alignment vertical="center"/>
    </xf>
    <xf numFmtId="4" fontId="33" fillId="0" borderId="0" xfId="25" applyNumberFormat="1" applyFont="1" applyAlignment="1">
      <alignment horizontal="center" vertical="center"/>
    </xf>
    <xf numFmtId="4" fontId="7" fillId="0" borderId="0" xfId="11" applyNumberFormat="1" applyFont="1" applyAlignment="1">
      <alignment horizontal="left" vertical="center"/>
    </xf>
    <xf numFmtId="4" fontId="7" fillId="0" borderId="0" xfId="11" applyNumberFormat="1" applyFont="1" applyAlignment="1">
      <alignment horizontal="center" vertical="center"/>
    </xf>
    <xf numFmtId="4" fontId="7" fillId="0" borderId="0" xfId="30" applyNumberFormat="1" applyFont="1" applyFill="1" applyBorder="1" applyAlignment="1">
      <alignment horizontal="center" vertical="center"/>
    </xf>
    <xf numFmtId="4" fontId="7" fillId="0" borderId="0" xfId="25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30" applyNumberFormat="1" applyFont="1" applyAlignment="1">
      <alignment horizontal="center" vertical="center"/>
    </xf>
    <xf numFmtId="4" fontId="5" fillId="0" borderId="0" xfId="25" applyNumberFormat="1" applyFont="1" applyAlignment="1">
      <alignment horizontal="center" vertical="center"/>
    </xf>
    <xf numFmtId="4" fontId="7" fillId="2" borderId="31" xfId="174" applyNumberFormat="1" applyFont="1" applyFill="1" applyBorder="1" applyAlignment="1">
      <alignment vertical="center"/>
    </xf>
    <xf numFmtId="4" fontId="7" fillId="2" borderId="32" xfId="11" applyNumberFormat="1" applyFont="1" applyFill="1" applyBorder="1" applyAlignment="1">
      <alignment horizontal="center" vertical="center"/>
    </xf>
    <xf numFmtId="4" fontId="7" fillId="2" borderId="32" xfId="30" applyNumberFormat="1" applyFont="1" applyFill="1" applyBorder="1" applyAlignment="1">
      <alignment horizontal="center" vertical="center"/>
    </xf>
    <xf numFmtId="4" fontId="7" fillId="2" borderId="32" xfId="25" applyNumberFormat="1" applyFont="1" applyFill="1" applyBorder="1" applyAlignment="1">
      <alignment horizontal="center" vertical="center"/>
    </xf>
    <xf numFmtId="4" fontId="5" fillId="0" borderId="26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7" fillId="0" borderId="19" xfId="25" quotePrefix="1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5" fillId="0" borderId="17" xfId="25" quotePrefix="1" applyNumberFormat="1" applyFont="1" applyFill="1" applyBorder="1" applyAlignment="1">
      <alignment horizontal="center" vertical="center"/>
    </xf>
    <xf numFmtId="4" fontId="5" fillId="0" borderId="17" xfId="25" applyNumberFormat="1" applyFont="1" applyBorder="1" applyAlignment="1">
      <alignment horizontal="center" vertical="center"/>
    </xf>
    <xf numFmtId="4" fontId="38" fillId="0" borderId="17" xfId="25" quotePrefix="1" applyNumberFormat="1" applyFont="1" applyFill="1" applyBorder="1" applyAlignment="1">
      <alignment horizontal="center" vertical="center"/>
    </xf>
    <xf numFmtId="4" fontId="38" fillId="0" borderId="17" xfId="25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24" xfId="25" quotePrefix="1" applyNumberFormat="1" applyFont="1" applyFill="1" applyBorder="1" applyAlignment="1">
      <alignment horizontal="center" vertical="center"/>
    </xf>
    <xf numFmtId="4" fontId="5" fillId="0" borderId="24" xfId="25" applyNumberFormat="1" applyFont="1" applyBorder="1" applyAlignment="1">
      <alignment horizontal="center" vertical="center"/>
    </xf>
    <xf numFmtId="4" fontId="5" fillId="0" borderId="19" xfId="25" quotePrefix="1" applyNumberFormat="1" applyFont="1" applyFill="1" applyBorder="1" applyAlignment="1">
      <alignment horizontal="center" vertical="center"/>
    </xf>
    <xf numFmtId="4" fontId="5" fillId="0" borderId="34" xfId="0" applyNumberFormat="1" applyFont="1" applyBorder="1" applyAlignment="1">
      <alignment horizontal="left" vertical="center" wrapText="1"/>
    </xf>
    <xf numFmtId="4" fontId="5" fillId="0" borderId="35" xfId="0" applyNumberFormat="1" applyFont="1" applyBorder="1" applyAlignment="1">
      <alignment horizontal="center" vertical="center"/>
    </xf>
    <xf numFmtId="4" fontId="5" fillId="0" borderId="35" xfId="25" quotePrefix="1" applyNumberFormat="1" applyFont="1" applyFill="1" applyBorder="1" applyAlignment="1">
      <alignment horizontal="center" vertical="center"/>
    </xf>
    <xf numFmtId="4" fontId="5" fillId="0" borderId="35" xfId="25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7" fillId="0" borderId="29" xfId="25" quotePrefix="1" applyNumberFormat="1" applyFont="1" applyFill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left" vertical="center" wrapText="1"/>
    </xf>
    <xf numFmtId="4" fontId="5" fillId="0" borderId="0" xfId="25" applyNumberFormat="1" applyFont="1" applyBorder="1" applyAlignment="1">
      <alignment horizontal="center" vertical="center"/>
    </xf>
    <xf numFmtId="4" fontId="7" fillId="2" borderId="32" xfId="174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horizontal="left" vertical="center" wrapText="1"/>
    </xf>
    <xf numFmtId="4" fontId="7" fillId="0" borderId="29" xfId="11" applyNumberFormat="1" applyFont="1" applyBorder="1" applyAlignment="1">
      <alignment horizontal="center" vertical="center" wrapText="1"/>
    </xf>
    <xf numFmtId="4" fontId="5" fillId="0" borderId="17" xfId="11" applyNumberFormat="1" applyFont="1" applyBorder="1" applyAlignment="1">
      <alignment horizontal="center" vertical="center" wrapText="1"/>
    </xf>
    <xf numFmtId="4" fontId="5" fillId="0" borderId="24" xfId="11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5" fillId="0" borderId="0" xfId="3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left" vertical="center"/>
    </xf>
    <xf numFmtId="4" fontId="7" fillId="0" borderId="19" xfId="11" applyNumberFormat="1" applyFont="1" applyBorder="1" applyAlignment="1">
      <alignment horizontal="center" vertical="center" wrapText="1"/>
    </xf>
    <xf numFmtId="4" fontId="7" fillId="0" borderId="29" xfId="0" applyNumberFormat="1" applyFont="1" applyBorder="1" applyAlignment="1">
      <alignment horizontal="center" vertical="center" wrapText="1"/>
    </xf>
    <xf numFmtId="4" fontId="5" fillId="0" borderId="17" xfId="11" applyNumberFormat="1" applyFont="1" applyBorder="1" applyAlignment="1">
      <alignment horizontal="center" vertical="center"/>
    </xf>
    <xf numFmtId="0" fontId="5" fillId="0" borderId="17" xfId="174" applyBorder="1" applyAlignment="1">
      <alignment horizontal="center" vertical="center"/>
    </xf>
    <xf numFmtId="0" fontId="5" fillId="0" borderId="17" xfId="174" applyBorder="1" applyAlignment="1">
      <alignment horizontal="center" vertical="center" wrapText="1"/>
    </xf>
    <xf numFmtId="4" fontId="5" fillId="0" borderId="17" xfId="174" applyNumberFormat="1" applyBorder="1" applyAlignment="1">
      <alignment horizontal="center" vertical="center"/>
    </xf>
    <xf numFmtId="0" fontId="7" fillId="0" borderId="43" xfId="11" applyFont="1" applyBorder="1" applyAlignment="1">
      <alignment horizontal="center" vertical="center"/>
    </xf>
    <xf numFmtId="0" fontId="7" fillId="0" borderId="44" xfId="11" applyFont="1" applyBorder="1" applyAlignment="1">
      <alignment horizontal="center"/>
    </xf>
    <xf numFmtId="0" fontId="7" fillId="0" borderId="44" xfId="11" applyFont="1" applyBorder="1" applyAlignment="1">
      <alignment vertical="center"/>
    </xf>
    <xf numFmtId="4" fontId="7" fillId="0" borderId="44" xfId="11" applyNumberFormat="1" applyFont="1" applyBorder="1" applyAlignment="1">
      <alignment vertical="center"/>
    </xf>
    <xf numFmtId="4" fontId="5" fillId="0" borderId="44" xfId="11" applyNumberFormat="1" applyFont="1" applyBorder="1" applyAlignment="1">
      <alignment horizontal="center" vertical="center"/>
    </xf>
    <xf numFmtId="4" fontId="5" fillId="0" borderId="44" xfId="30" applyNumberFormat="1" applyFont="1" applyFill="1" applyBorder="1" applyAlignment="1">
      <alignment horizontal="center" vertical="center"/>
    </xf>
    <xf numFmtId="4" fontId="5" fillId="0" borderId="44" xfId="25" applyNumberFormat="1" applyFont="1" applyFill="1" applyBorder="1" applyAlignment="1">
      <alignment horizontal="center" vertical="center"/>
    </xf>
    <xf numFmtId="4" fontId="5" fillId="0" borderId="44" xfId="25" applyNumberFormat="1" applyFont="1" applyBorder="1" applyAlignment="1">
      <alignment horizontal="center" vertical="center"/>
    </xf>
    <xf numFmtId="164" fontId="5" fillId="0" borderId="45" xfId="25" applyFont="1" applyBorder="1" applyAlignment="1">
      <alignment horizontal="center" vertical="center"/>
    </xf>
    <xf numFmtId="0" fontId="5" fillId="0" borderId="18" xfId="11" applyFont="1" applyBorder="1" applyAlignment="1">
      <alignment horizontal="center" vertical="center"/>
    </xf>
    <xf numFmtId="0" fontId="5" fillId="0" borderId="19" xfId="174" applyBorder="1" applyAlignment="1">
      <alignment horizontal="center" vertical="center"/>
    </xf>
    <xf numFmtId="0" fontId="5" fillId="0" borderId="19" xfId="174" applyBorder="1" applyAlignment="1">
      <alignment horizontal="center" vertical="center" wrapText="1"/>
    </xf>
    <xf numFmtId="4" fontId="5" fillId="0" borderId="19" xfId="174" applyNumberFormat="1" applyBorder="1" applyAlignment="1">
      <alignment horizontal="center" vertical="center"/>
    </xf>
    <xf numFmtId="0" fontId="5" fillId="0" borderId="21" xfId="11" applyFont="1" applyBorder="1" applyAlignment="1">
      <alignment horizontal="center" vertical="center"/>
    </xf>
    <xf numFmtId="0" fontId="5" fillId="0" borderId="23" xfId="11" applyFont="1" applyBorder="1" applyAlignment="1">
      <alignment horizontal="center" vertical="center"/>
    </xf>
    <xf numFmtId="0" fontId="5" fillId="0" borderId="24" xfId="174" applyBorder="1" applyAlignment="1">
      <alignment horizontal="center" vertical="center"/>
    </xf>
    <xf numFmtId="0" fontId="5" fillId="0" borderId="24" xfId="174" applyBorder="1" applyAlignment="1">
      <alignment horizontal="center" vertical="center" wrapText="1"/>
    </xf>
    <xf numFmtId="4" fontId="5" fillId="0" borderId="24" xfId="174" applyNumberFormat="1" applyBorder="1" applyAlignment="1">
      <alignment horizontal="center" vertical="center"/>
    </xf>
    <xf numFmtId="4" fontId="5" fillId="0" borderId="19" xfId="11" applyNumberFormat="1" applyFont="1" applyBorder="1" applyAlignment="1">
      <alignment horizontal="center" vertical="center"/>
    </xf>
    <xf numFmtId="4" fontId="5" fillId="0" borderId="24" xfId="11" applyNumberFormat="1" applyFont="1" applyBorder="1" applyAlignment="1">
      <alignment horizontal="center" vertical="center"/>
    </xf>
    <xf numFmtId="0" fontId="7" fillId="0" borderId="39" xfId="11" applyFont="1" applyBorder="1" applyAlignment="1">
      <alignment horizontal="center" vertical="center"/>
    </xf>
    <xf numFmtId="0" fontId="7" fillId="0" borderId="32" xfId="11" applyFont="1" applyBorder="1" applyAlignment="1">
      <alignment horizontal="center" vertical="center"/>
    </xf>
    <xf numFmtId="0" fontId="7" fillId="0" borderId="32" xfId="11" applyFont="1" applyBorder="1" applyAlignment="1">
      <alignment vertical="center"/>
    </xf>
    <xf numFmtId="4" fontId="7" fillId="0" borderId="32" xfId="11" applyNumberFormat="1" applyFont="1" applyBorder="1" applyAlignment="1">
      <alignment vertical="center"/>
    </xf>
    <xf numFmtId="4" fontId="5" fillId="0" borderId="32" xfId="11" applyNumberFormat="1" applyFont="1" applyBorder="1" applyAlignment="1">
      <alignment horizontal="center" vertical="center"/>
    </xf>
    <xf numFmtId="4" fontId="5" fillId="0" borderId="32" xfId="25" quotePrefix="1" applyNumberFormat="1" applyFont="1" applyFill="1" applyBorder="1" applyAlignment="1">
      <alignment horizontal="center" vertical="center"/>
    </xf>
    <xf numFmtId="164" fontId="5" fillId="0" borderId="33" xfId="25" applyFont="1" applyBorder="1" applyAlignment="1">
      <alignment horizontal="center" vertical="center"/>
    </xf>
    <xf numFmtId="4" fontId="7" fillId="0" borderId="19" xfId="1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174" applyBorder="1" applyAlignment="1">
      <alignment horizontal="left" vertical="center" wrapText="1"/>
    </xf>
    <xf numFmtId="164" fontId="5" fillId="0" borderId="17" xfId="25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174" applyBorder="1" applyAlignment="1">
      <alignment horizontal="center" vertical="center" wrapText="1"/>
    </xf>
    <xf numFmtId="4" fontId="5" fillId="0" borderId="29" xfId="25" quotePrefix="1" applyNumberFormat="1" applyFont="1" applyFill="1" applyBorder="1" applyAlignment="1">
      <alignment horizontal="center" vertical="center"/>
    </xf>
    <xf numFmtId="4" fontId="5" fillId="0" borderId="29" xfId="25" applyNumberFormat="1" applyFont="1" applyBorder="1" applyAlignment="1">
      <alignment horizontal="center" vertical="center"/>
    </xf>
    <xf numFmtId="0" fontId="5" fillId="0" borderId="19" xfId="174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4" xfId="174" applyBorder="1" applyAlignment="1">
      <alignment horizontal="left" vertical="center" wrapText="1"/>
    </xf>
    <xf numFmtId="0" fontId="5" fillId="0" borderId="26" xfId="174" applyBorder="1" applyAlignment="1">
      <alignment horizontal="left" vertical="center" wrapText="1"/>
    </xf>
    <xf numFmtId="0" fontId="5" fillId="0" borderId="27" xfId="174" applyBorder="1" applyAlignment="1">
      <alignment horizontal="left" vertical="center" wrapText="1"/>
    </xf>
    <xf numFmtId="0" fontId="5" fillId="0" borderId="28" xfId="174" applyBorder="1" applyAlignment="1">
      <alignment horizontal="left" vertical="center" wrapText="1"/>
    </xf>
    <xf numFmtId="164" fontId="7" fillId="2" borderId="13" xfId="25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1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11" applyFont="1" applyBorder="1" applyAlignment="1">
      <alignment horizontal="center" vertical="center"/>
    </xf>
    <xf numFmtId="0" fontId="5" fillId="0" borderId="27" xfId="11" applyFont="1" applyBorder="1" applyAlignment="1">
      <alignment horizontal="center" vertical="center"/>
    </xf>
    <xf numFmtId="0" fontId="5" fillId="0" borderId="28" xfId="11" applyFont="1" applyBorder="1" applyAlignment="1">
      <alignment horizontal="center" vertical="center"/>
    </xf>
    <xf numFmtId="0" fontId="11" fillId="0" borderId="19" xfId="7" applyNumberFormat="1" applyFont="1" applyBorder="1" applyAlignment="1">
      <alignment horizontal="center" vertical="center" wrapText="1"/>
    </xf>
    <xf numFmtId="0" fontId="11" fillId="0" borderId="17" xfId="7" applyNumberFormat="1" applyFont="1" applyBorder="1" applyAlignment="1">
      <alignment horizontal="center" vertical="center" wrapText="1"/>
    </xf>
    <xf numFmtId="0" fontId="11" fillId="0" borderId="24" xfId="7" applyNumberFormat="1" applyFont="1" applyBorder="1" applyAlignment="1">
      <alignment horizontal="center" vertical="center" wrapText="1"/>
    </xf>
    <xf numFmtId="0" fontId="11" fillId="0" borderId="26" xfId="7" applyFont="1" applyBorder="1" applyAlignment="1">
      <alignment horizontal="center" vertical="center" wrapText="1"/>
    </xf>
    <xf numFmtId="0" fontId="11" fillId="0" borderId="27" xfId="7" applyFont="1" applyBorder="1" applyAlignment="1">
      <alignment horizontal="center" vertical="center" wrapText="1"/>
    </xf>
    <xf numFmtId="0" fontId="11" fillId="0" borderId="28" xfId="7" applyFont="1" applyBorder="1" applyAlignment="1">
      <alignment horizontal="center" vertical="center" wrapText="1"/>
    </xf>
    <xf numFmtId="0" fontId="7" fillId="2" borderId="49" xfId="11" applyFont="1" applyFill="1" applyBorder="1" applyAlignment="1">
      <alignment horizontal="center" vertical="center"/>
    </xf>
    <xf numFmtId="0" fontId="7" fillId="2" borderId="50" xfId="11" applyFont="1" applyFill="1" applyBorder="1" applyAlignment="1">
      <alignment horizontal="center"/>
    </xf>
    <xf numFmtId="4" fontId="7" fillId="2" borderId="31" xfId="11" applyNumberFormat="1" applyFont="1" applyFill="1" applyBorder="1" applyAlignment="1">
      <alignment vertical="center"/>
    </xf>
    <xf numFmtId="0" fontId="7" fillId="2" borderId="32" xfId="11" applyFont="1" applyFill="1" applyBorder="1" applyAlignment="1">
      <alignment vertical="center"/>
    </xf>
    <xf numFmtId="4" fontId="7" fillId="2" borderId="31" xfId="30" applyNumberFormat="1" applyFont="1" applyFill="1" applyBorder="1" applyAlignment="1">
      <alignment horizontal="center" vertical="center"/>
    </xf>
    <xf numFmtId="4" fontId="5" fillId="0" borderId="17" xfId="29" applyNumberFormat="1" applyFont="1" applyFill="1" applyBorder="1" applyAlignment="1">
      <alignment horizontal="center" vertical="center"/>
    </xf>
    <xf numFmtId="0" fontId="5" fillId="0" borderId="21" xfId="174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/>
    </xf>
    <xf numFmtId="4" fontId="7" fillId="2" borderId="32" xfId="11" applyNumberFormat="1" applyFont="1" applyFill="1" applyBorder="1" applyAlignment="1">
      <alignment vertical="center"/>
    </xf>
    <xf numFmtId="4" fontId="5" fillId="0" borderId="29" xfId="0" applyNumberFormat="1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4" fontId="7" fillId="0" borderId="32" xfId="0" applyNumberFormat="1" applyFont="1" applyBorder="1" applyAlignment="1">
      <alignment horizontal="left" vertical="center" wrapText="1"/>
    </xf>
    <xf numFmtId="4" fontId="5" fillId="0" borderId="32" xfId="0" applyNumberFormat="1" applyFont="1" applyBorder="1" applyAlignment="1">
      <alignment horizontal="center" vertical="center"/>
    </xf>
    <xf numFmtId="4" fontId="5" fillId="0" borderId="32" xfId="30" applyNumberFormat="1" applyFont="1" applyBorder="1" applyAlignment="1">
      <alignment horizontal="center" vertical="center"/>
    </xf>
    <xf numFmtId="4" fontId="5" fillId="0" borderId="32" xfId="25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5" xfId="11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4" fontId="5" fillId="0" borderId="35" xfId="0" applyNumberFormat="1" applyFont="1" applyBorder="1" applyAlignment="1">
      <alignment horizontal="left" vertical="center" wrapText="1"/>
    </xf>
    <xf numFmtId="0" fontId="5" fillId="0" borderId="32" xfId="11" applyFont="1" applyBorder="1" applyAlignment="1">
      <alignment horizontal="center" vertical="center" wrapText="1"/>
    </xf>
    <xf numFmtId="4" fontId="5" fillId="0" borderId="32" xfId="11" applyNumberFormat="1" applyFont="1" applyBorder="1" applyAlignment="1">
      <alignment horizontal="center" vertical="center" wrapText="1"/>
    </xf>
    <xf numFmtId="0" fontId="5" fillId="0" borderId="47" xfId="174" applyBorder="1" applyAlignment="1">
      <alignment horizontal="center" vertical="center" wrapText="1"/>
    </xf>
    <xf numFmtId="0" fontId="5" fillId="0" borderId="35" xfId="174" applyBorder="1" applyAlignment="1">
      <alignment horizontal="center" vertical="center" wrapText="1"/>
    </xf>
    <xf numFmtId="4" fontId="5" fillId="0" borderId="35" xfId="29" applyNumberFormat="1" applyFont="1" applyFill="1" applyBorder="1" applyAlignment="1">
      <alignment horizontal="center" vertical="center"/>
    </xf>
    <xf numFmtId="4" fontId="7" fillId="0" borderId="32" xfId="11" applyNumberFormat="1" applyFont="1" applyBorder="1" applyAlignment="1">
      <alignment horizontal="center" vertical="center" wrapText="1"/>
    </xf>
    <xf numFmtId="0" fontId="5" fillId="0" borderId="38" xfId="174" applyBorder="1" applyAlignment="1">
      <alignment horizontal="center" vertical="center" wrapText="1"/>
    </xf>
    <xf numFmtId="4" fontId="5" fillId="0" borderId="29" xfId="29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wrapText="1"/>
    </xf>
    <xf numFmtId="4" fontId="5" fillId="0" borderId="52" xfId="0" applyNumberFormat="1" applyFont="1" applyBorder="1" applyAlignment="1">
      <alignment horizontal="left" vertical="center" wrapText="1"/>
    </xf>
    <xf numFmtId="4" fontId="5" fillId="0" borderId="52" xfId="0" applyNumberFormat="1" applyFont="1" applyBorder="1" applyAlignment="1">
      <alignment horizontal="center" vertical="center"/>
    </xf>
    <xf numFmtId="0" fontId="5" fillId="0" borderId="17" xfId="11" applyFont="1" applyBorder="1" applyAlignment="1">
      <alignment horizontal="left" vertical="center" wrapText="1"/>
    </xf>
    <xf numFmtId="4" fontId="5" fillId="0" borderId="17" xfId="11" applyNumberFormat="1" applyFont="1" applyBorder="1" applyAlignment="1">
      <alignment horizontal="left" vertical="center" wrapText="1"/>
    </xf>
    <xf numFmtId="164" fontId="5" fillId="0" borderId="17" xfId="25" quotePrefix="1" applyFont="1" applyFill="1" applyBorder="1" applyAlignment="1">
      <alignment horizontal="right" vertical="center"/>
    </xf>
    <xf numFmtId="164" fontId="5" fillId="0" borderId="17" xfId="25" applyFont="1" applyBorder="1" applyAlignment="1">
      <alignment horizontal="right" vertical="center"/>
    </xf>
    <xf numFmtId="0" fontId="5" fillId="0" borderId="29" xfId="11" applyFont="1" applyBorder="1" applyAlignment="1">
      <alignment horizontal="left" vertical="center" wrapText="1"/>
    </xf>
    <xf numFmtId="4" fontId="5" fillId="0" borderId="29" xfId="11" applyNumberFormat="1" applyFont="1" applyBorder="1" applyAlignment="1">
      <alignment horizontal="left" vertical="center" wrapText="1"/>
    </xf>
    <xf numFmtId="0" fontId="5" fillId="0" borderId="19" xfId="11" applyFont="1" applyBorder="1" applyAlignment="1">
      <alignment horizontal="left" vertical="center" wrapText="1"/>
    </xf>
    <xf numFmtId="4" fontId="5" fillId="0" borderId="19" xfId="11" applyNumberFormat="1" applyFont="1" applyBorder="1" applyAlignment="1">
      <alignment horizontal="left" vertical="center" wrapText="1"/>
    </xf>
    <xf numFmtId="0" fontId="5" fillId="0" borderId="24" xfId="11" applyFont="1" applyBorder="1" applyAlignment="1">
      <alignment horizontal="left" vertical="center" wrapText="1"/>
    </xf>
    <xf numFmtId="4" fontId="5" fillId="0" borderId="24" xfId="11" applyNumberFormat="1" applyFont="1" applyBorder="1" applyAlignment="1">
      <alignment horizontal="left" vertical="center" wrapText="1"/>
    </xf>
    <xf numFmtId="164" fontId="5" fillId="0" borderId="19" xfId="25" quotePrefix="1" applyFont="1" applyFill="1" applyBorder="1" applyAlignment="1">
      <alignment horizontal="right" vertical="center"/>
    </xf>
    <xf numFmtId="164" fontId="5" fillId="0" borderId="19" xfId="25" applyFont="1" applyBorder="1" applyAlignment="1">
      <alignment horizontal="right" vertical="center"/>
    </xf>
    <xf numFmtId="164" fontId="5" fillId="0" borderId="24" xfId="25" quotePrefix="1" applyFont="1" applyFill="1" applyBorder="1" applyAlignment="1">
      <alignment horizontal="right" vertical="center"/>
    </xf>
    <xf numFmtId="164" fontId="5" fillId="0" borderId="24" xfId="25" applyFont="1" applyBorder="1" applyAlignment="1">
      <alignment horizontal="right" vertical="center"/>
    </xf>
    <xf numFmtId="4" fontId="5" fillId="0" borderId="17" xfId="174" applyNumberFormat="1" applyBorder="1" applyAlignment="1">
      <alignment horizontal="left" vertical="center" wrapText="1"/>
    </xf>
    <xf numFmtId="0" fontId="5" fillId="0" borderId="17" xfId="11" applyFont="1" applyBorder="1" applyAlignment="1">
      <alignment vertical="center" wrapText="1"/>
    </xf>
    <xf numFmtId="4" fontId="5" fillId="0" borderId="17" xfId="11" applyNumberFormat="1" applyFont="1" applyBorder="1" applyAlignment="1">
      <alignment vertical="center" wrapText="1"/>
    </xf>
    <xf numFmtId="4" fontId="5" fillId="0" borderId="19" xfId="174" applyNumberFormat="1" applyBorder="1" applyAlignment="1">
      <alignment horizontal="left" vertical="center" wrapText="1"/>
    </xf>
    <xf numFmtId="4" fontId="5" fillId="0" borderId="24" xfId="174" applyNumberFormat="1" applyBorder="1" applyAlignment="1">
      <alignment horizontal="left" vertical="center" wrapText="1"/>
    </xf>
    <xf numFmtId="0" fontId="5" fillId="0" borderId="19" xfId="11" applyFont="1" applyBorder="1" applyAlignment="1">
      <alignment vertical="center" wrapText="1"/>
    </xf>
    <xf numFmtId="4" fontId="5" fillId="0" borderId="19" xfId="11" applyNumberFormat="1" applyFont="1" applyBorder="1" applyAlignment="1">
      <alignment vertical="center" wrapText="1"/>
    </xf>
    <xf numFmtId="0" fontId="5" fillId="0" borderId="24" xfId="11" applyFont="1" applyBorder="1" applyAlignment="1">
      <alignment vertical="center" wrapText="1"/>
    </xf>
    <xf numFmtId="4" fontId="5" fillId="0" borderId="24" xfId="11" applyNumberFormat="1" applyFont="1" applyBorder="1" applyAlignment="1">
      <alignment vertical="center" wrapText="1"/>
    </xf>
    <xf numFmtId="0" fontId="5" fillId="3" borderId="17" xfId="11" applyFont="1" applyFill="1" applyBorder="1" applyAlignment="1">
      <alignment horizontal="center" vertical="center"/>
    </xf>
    <xf numFmtId="0" fontId="5" fillId="3" borderId="29" xfId="1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19" xfId="1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3" borderId="24" xfId="11" applyFont="1" applyFill="1" applyBorder="1" applyAlignment="1">
      <alignment horizontal="center" vertical="center"/>
    </xf>
    <xf numFmtId="0" fontId="5" fillId="3" borderId="17" xfId="174" applyFill="1" applyBorder="1" applyAlignment="1">
      <alignment horizontal="center" vertical="center"/>
    </xf>
    <xf numFmtId="0" fontId="5" fillId="3" borderId="17" xfId="11" applyFont="1" applyFill="1" applyBorder="1" applyAlignment="1">
      <alignment horizontal="center" vertical="center" wrapText="1"/>
    </xf>
    <xf numFmtId="4" fontId="5" fillId="0" borderId="17" xfId="174" applyNumberForma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2" fontId="5" fillId="0" borderId="32" xfId="11" applyNumberFormat="1" applyFont="1" applyBorder="1" applyAlignment="1">
      <alignment horizontal="center" vertical="center" wrapText="1"/>
    </xf>
    <xf numFmtId="0" fontId="7" fillId="0" borderId="32" xfId="11" applyFont="1" applyBorder="1" applyAlignment="1">
      <alignment horizontal="left" vertical="center" wrapText="1"/>
    </xf>
    <xf numFmtId="4" fontId="7" fillId="0" borderId="32" xfId="11" applyNumberFormat="1" applyFont="1" applyBorder="1" applyAlignment="1">
      <alignment horizontal="left" vertical="center" wrapText="1"/>
    </xf>
    <xf numFmtId="0" fontId="5" fillId="0" borderId="29" xfId="174" applyBorder="1" applyAlignment="1">
      <alignment horizontal="center" vertical="center"/>
    </xf>
    <xf numFmtId="0" fontId="5" fillId="3" borderId="19" xfId="174" applyFill="1" applyBorder="1" applyAlignment="1">
      <alignment horizontal="center" vertical="center"/>
    </xf>
    <xf numFmtId="0" fontId="5" fillId="3" borderId="24" xfId="174" applyFill="1" applyBorder="1" applyAlignment="1">
      <alignment horizontal="center" vertical="center"/>
    </xf>
    <xf numFmtId="0" fontId="5" fillId="3" borderId="19" xfId="11" applyFont="1" applyFill="1" applyBorder="1" applyAlignment="1">
      <alignment horizontal="center" vertical="center" wrapText="1"/>
    </xf>
    <xf numFmtId="0" fontId="5" fillId="3" borderId="24" xfId="11" applyFont="1" applyFill="1" applyBorder="1" applyAlignment="1">
      <alignment horizontal="center" vertical="center" wrapText="1"/>
    </xf>
    <xf numFmtId="4" fontId="5" fillId="0" borderId="19" xfId="174" applyNumberFormat="1" applyBorder="1" applyAlignment="1">
      <alignment horizontal="center" vertical="center" wrapText="1"/>
    </xf>
    <xf numFmtId="4" fontId="5" fillId="0" borderId="24" xfId="174" applyNumberForma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3" borderId="35" xfId="11" applyFont="1" applyFill="1" applyBorder="1" applyAlignment="1">
      <alignment horizontal="center" vertical="center"/>
    </xf>
    <xf numFmtId="0" fontId="5" fillId="0" borderId="35" xfId="11" applyFont="1" applyBorder="1" applyAlignment="1">
      <alignment horizontal="left" vertical="center" wrapText="1"/>
    </xf>
    <xf numFmtId="4" fontId="5" fillId="0" borderId="35" xfId="11" applyNumberFormat="1" applyFont="1" applyBorder="1" applyAlignment="1">
      <alignment horizontal="left" vertical="center" wrapText="1"/>
    </xf>
    <xf numFmtId="164" fontId="5" fillId="0" borderId="35" xfId="25" applyFont="1" applyBorder="1" applyAlignment="1">
      <alignment horizontal="center" vertical="center"/>
    </xf>
    <xf numFmtId="164" fontId="5" fillId="0" borderId="22" xfId="25" applyFont="1" applyBorder="1" applyAlignment="1">
      <alignment horizontal="left" vertical="center"/>
    </xf>
    <xf numFmtId="164" fontId="5" fillId="0" borderId="17" xfId="25" quotePrefix="1" applyFont="1" applyFill="1" applyBorder="1" applyAlignment="1">
      <alignment horizontal="center" vertical="center"/>
    </xf>
    <xf numFmtId="164" fontId="5" fillId="0" borderId="19" xfId="25" quotePrefix="1" applyFont="1" applyFill="1" applyBorder="1" applyAlignment="1">
      <alignment horizontal="center" vertical="center"/>
    </xf>
    <xf numFmtId="164" fontId="5" fillId="0" borderId="24" xfId="25" quotePrefix="1" applyFont="1" applyFill="1" applyBorder="1" applyAlignment="1">
      <alignment horizontal="center" vertical="center"/>
    </xf>
    <xf numFmtId="0" fontId="5" fillId="3" borderId="18" xfId="11" applyFont="1" applyFill="1" applyBorder="1" applyAlignment="1">
      <alignment horizontal="center" vertical="center"/>
    </xf>
    <xf numFmtId="0" fontId="5" fillId="3" borderId="21" xfId="11" applyFont="1" applyFill="1" applyBorder="1" applyAlignment="1">
      <alignment horizontal="center" vertical="center"/>
    </xf>
    <xf numFmtId="0" fontId="5" fillId="3" borderId="23" xfId="11" applyFont="1" applyFill="1" applyBorder="1" applyAlignment="1">
      <alignment horizontal="center" vertical="center"/>
    </xf>
    <xf numFmtId="4" fontId="38" fillId="0" borderId="17" xfId="0" applyNumberFormat="1" applyFont="1" applyBorder="1" applyAlignment="1">
      <alignment horizontal="center" vertical="center"/>
    </xf>
    <xf numFmtId="0" fontId="7" fillId="0" borderId="17" xfId="174" applyFont="1" applyBorder="1" applyAlignment="1">
      <alignment horizontal="center" vertical="center"/>
    </xf>
    <xf numFmtId="0" fontId="7" fillId="0" borderId="17" xfId="174" applyFont="1" applyBorder="1" applyAlignment="1">
      <alignment vertical="center"/>
    </xf>
    <xf numFmtId="4" fontId="7" fillId="0" borderId="17" xfId="174" applyNumberFormat="1" applyFont="1" applyBorder="1" applyAlignment="1">
      <alignment vertical="center"/>
    </xf>
    <xf numFmtId="0" fontId="7" fillId="0" borderId="29" xfId="174" applyFont="1" applyBorder="1" applyAlignment="1">
      <alignment vertical="center"/>
    </xf>
    <xf numFmtId="4" fontId="7" fillId="0" borderId="29" xfId="174" applyNumberFormat="1" applyFont="1" applyBorder="1" applyAlignment="1">
      <alignment vertical="center"/>
    </xf>
    <xf numFmtId="0" fontId="7" fillId="0" borderId="39" xfId="174" applyFont="1" applyBorder="1" applyAlignment="1">
      <alignment horizontal="center" vertical="center"/>
    </xf>
    <xf numFmtId="0" fontId="7" fillId="0" borderId="32" xfId="174" applyFont="1" applyBorder="1" applyAlignment="1">
      <alignment horizontal="center" vertical="center"/>
    </xf>
    <xf numFmtId="0" fontId="7" fillId="0" borderId="32" xfId="174" applyFont="1" applyBorder="1" applyAlignment="1">
      <alignment vertical="center"/>
    </xf>
    <xf numFmtId="4" fontId="7" fillId="0" borderId="32" xfId="174" applyNumberFormat="1" applyFont="1" applyBorder="1" applyAlignment="1">
      <alignment vertical="center"/>
    </xf>
    <xf numFmtId="4" fontId="7" fillId="0" borderId="32" xfId="174" applyNumberFormat="1" applyFont="1" applyBorder="1" applyAlignment="1">
      <alignment horizontal="center" vertical="center"/>
    </xf>
    <xf numFmtId="4" fontId="5" fillId="0" borderId="32" xfId="29" applyNumberFormat="1" applyFont="1" applyFill="1" applyBorder="1" applyAlignment="1">
      <alignment horizontal="center" vertical="center"/>
    </xf>
    <xf numFmtId="164" fontId="5" fillId="0" borderId="33" xfId="29" applyFont="1" applyFill="1" applyBorder="1" applyAlignment="1">
      <alignment horizontal="center" vertical="center"/>
    </xf>
    <xf numFmtId="0" fontId="5" fillId="0" borderId="32" xfId="174" applyBorder="1" applyAlignment="1">
      <alignment horizontal="center" vertical="center" wrapText="1"/>
    </xf>
    <xf numFmtId="0" fontId="7" fillId="0" borderId="32" xfId="174" applyFont="1" applyBorder="1" applyAlignment="1">
      <alignment horizontal="left" vertical="center" wrapText="1"/>
    </xf>
    <xf numFmtId="4" fontId="7" fillId="0" borderId="32" xfId="174" applyNumberFormat="1" applyFont="1" applyBorder="1" applyAlignment="1">
      <alignment horizontal="left" vertical="center" wrapText="1"/>
    </xf>
    <xf numFmtId="4" fontId="5" fillId="0" borderId="32" xfId="174" applyNumberFormat="1" applyBorder="1" applyAlignment="1">
      <alignment horizontal="center" vertical="center" wrapText="1"/>
    </xf>
    <xf numFmtId="4" fontId="5" fillId="3" borderId="17" xfId="11" applyNumberFormat="1" applyFont="1" applyFill="1" applyBorder="1" applyAlignment="1">
      <alignment horizontal="center" vertical="center"/>
    </xf>
    <xf numFmtId="0" fontId="7" fillId="3" borderId="29" xfId="174" applyFont="1" applyFill="1" applyBorder="1" applyAlignment="1">
      <alignment horizontal="center" vertical="center"/>
    </xf>
    <xf numFmtId="0" fontId="7" fillId="3" borderId="29" xfId="174" applyFont="1" applyFill="1" applyBorder="1" applyAlignment="1">
      <alignment vertical="center"/>
    </xf>
    <xf numFmtId="4" fontId="7" fillId="3" borderId="29" xfId="174" applyNumberFormat="1" applyFont="1" applyFill="1" applyBorder="1" applyAlignment="1">
      <alignment vertical="center"/>
    </xf>
    <xf numFmtId="4" fontId="5" fillId="3" borderId="29" xfId="174" applyNumberFormat="1" applyFill="1" applyBorder="1" applyAlignment="1">
      <alignment horizontal="center" vertical="center"/>
    </xf>
    <xf numFmtId="4" fontId="5" fillId="3" borderId="29" xfId="29" applyNumberFormat="1" applyFont="1" applyFill="1" applyBorder="1" applyAlignment="1">
      <alignment horizontal="center" vertical="center"/>
    </xf>
    <xf numFmtId="0" fontId="7" fillId="3" borderId="38" xfId="174" applyFont="1" applyFill="1" applyBorder="1" applyAlignment="1">
      <alignment horizontal="center" vertical="center"/>
    </xf>
    <xf numFmtId="164" fontId="5" fillId="0" borderId="30" xfId="29" applyFont="1" applyFill="1" applyBorder="1" applyAlignment="1">
      <alignment horizontal="center" vertical="center"/>
    </xf>
    <xf numFmtId="0" fontId="7" fillId="3" borderId="21" xfId="174" applyFont="1" applyFill="1" applyBorder="1" applyAlignment="1">
      <alignment horizontal="center" vertical="center"/>
    </xf>
    <xf numFmtId="4" fontId="5" fillId="3" borderId="24" xfId="11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right" vertical="center" wrapText="1"/>
    </xf>
    <xf numFmtId="4" fontId="7" fillId="0" borderId="52" xfId="0" applyNumberFormat="1" applyFont="1" applyBorder="1" applyAlignment="1">
      <alignment horizontal="right" vertical="center" wrapText="1"/>
    </xf>
    <xf numFmtId="4" fontId="7" fillId="0" borderId="52" xfId="0" applyNumberFormat="1" applyFont="1" applyBorder="1" applyAlignment="1">
      <alignment horizontal="center" vertical="center" wrapText="1"/>
    </xf>
    <xf numFmtId="4" fontId="7" fillId="0" borderId="52" xfId="25" applyNumberFormat="1" applyFont="1" applyFill="1" applyBorder="1" applyAlignment="1">
      <alignment horizontal="center" vertical="center" wrapText="1"/>
    </xf>
    <xf numFmtId="164" fontId="7" fillId="0" borderId="52" xfId="25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7" fillId="0" borderId="17" xfId="11" applyFont="1" applyBorder="1" applyAlignment="1">
      <alignment horizontal="center" vertical="center" wrapText="1"/>
    </xf>
    <xf numFmtId="0" fontId="7" fillId="0" borderId="17" xfId="11" applyFont="1" applyBorder="1" applyAlignment="1">
      <alignment vertical="center" wrapText="1"/>
    </xf>
    <xf numFmtId="4" fontId="7" fillId="0" borderId="17" xfId="11" applyNumberFormat="1" applyFont="1" applyBorder="1" applyAlignment="1">
      <alignment vertical="center" wrapText="1"/>
    </xf>
    <xf numFmtId="4" fontId="5" fillId="3" borderId="17" xfId="11" applyNumberFormat="1" applyFont="1" applyFill="1" applyBorder="1" applyAlignment="1">
      <alignment horizontal="center" vertical="center" wrapText="1"/>
    </xf>
    <xf numFmtId="0" fontId="5" fillId="0" borderId="38" xfId="11" applyFont="1" applyBorder="1" applyAlignment="1">
      <alignment horizontal="center" vertical="center" wrapText="1"/>
    </xf>
    <xf numFmtId="0" fontId="5" fillId="0" borderId="21" xfId="11" applyFont="1" applyBorder="1" applyAlignment="1">
      <alignment horizontal="center" vertical="center" wrapText="1"/>
    </xf>
    <xf numFmtId="0" fontId="5" fillId="0" borderId="23" xfId="11" applyFont="1" applyBorder="1" applyAlignment="1">
      <alignment horizontal="center" vertical="center" wrapText="1"/>
    </xf>
    <xf numFmtId="0" fontId="7" fillId="0" borderId="29" xfId="11" applyFont="1" applyBorder="1" applyAlignment="1">
      <alignment horizontal="center"/>
    </xf>
    <xf numFmtId="4" fontId="7" fillId="0" borderId="29" xfId="11" applyNumberFormat="1" applyFont="1" applyBorder="1" applyAlignment="1">
      <alignment horizontal="center" vertical="center"/>
    </xf>
    <xf numFmtId="4" fontId="7" fillId="0" borderId="29" xfId="30" applyNumberFormat="1" applyFont="1" applyFill="1" applyBorder="1" applyAlignment="1">
      <alignment horizontal="center" vertical="center"/>
    </xf>
    <xf numFmtId="4" fontId="7" fillId="0" borderId="29" xfId="25" applyNumberFormat="1" applyFont="1" applyFill="1" applyBorder="1" applyAlignment="1">
      <alignment horizontal="center" vertical="center"/>
    </xf>
    <xf numFmtId="0" fontId="7" fillId="0" borderId="38" xfId="11" applyFont="1" applyBorder="1" applyAlignment="1">
      <alignment horizontal="center" vertical="center"/>
    </xf>
    <xf numFmtId="0" fontId="7" fillId="0" borderId="21" xfId="11" applyFont="1" applyBorder="1" applyAlignment="1">
      <alignment horizontal="center" vertical="center"/>
    </xf>
    <xf numFmtId="0" fontId="7" fillId="0" borderId="0" xfId="174" applyFont="1" applyAlignment="1">
      <alignment horizontal="center" vertical="center"/>
    </xf>
    <xf numFmtId="0" fontId="5" fillId="5" borderId="1" xfId="174" applyFill="1" applyBorder="1" applyAlignment="1">
      <alignment horizontal="center"/>
    </xf>
    <xf numFmtId="164" fontId="5" fillId="0" borderId="0" xfId="175" applyFont="1" applyBorder="1" applyAlignment="1">
      <alignment horizontal="center" vertical="center"/>
    </xf>
    <xf numFmtId="9" fontId="5" fillId="0" borderId="0" xfId="174" applyNumberFormat="1" applyAlignment="1">
      <alignment vertical="center"/>
    </xf>
    <xf numFmtId="0" fontId="5" fillId="0" borderId="1" xfId="174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5" fillId="0" borderId="1" xfId="174" applyNumberFormat="1" applyBorder="1" applyAlignment="1">
      <alignment vertical="center"/>
    </xf>
    <xf numFmtId="164" fontId="0" fillId="0" borderId="1" xfId="175" applyFont="1" applyBorder="1" applyAlignment="1">
      <alignment vertical="center"/>
    </xf>
    <xf numFmtId="164" fontId="0" fillId="0" borderId="0" xfId="175" applyFont="1" applyAlignment="1">
      <alignment vertical="center"/>
    </xf>
    <xf numFmtId="164" fontId="7" fillId="5" borderId="14" xfId="175" applyFont="1" applyFill="1" applyBorder="1" applyAlignment="1">
      <alignment vertical="center"/>
    </xf>
    <xf numFmtId="164" fontId="5" fillId="5" borderId="7" xfId="174" applyNumberFormat="1" applyFill="1" applyBorder="1" applyAlignment="1">
      <alignment vertical="center"/>
    </xf>
    <xf numFmtId="4" fontId="5" fillId="0" borderId="1" xfId="174" applyNumberFormat="1" applyBorder="1" applyAlignment="1">
      <alignment vertical="center"/>
    </xf>
    <xf numFmtId="4" fontId="5" fillId="3" borderId="1" xfId="176" applyNumberFormat="1" applyFont="1" applyFill="1" applyBorder="1" applyAlignment="1">
      <alignment vertical="center"/>
    </xf>
    <xf numFmtId="9" fontId="40" fillId="3" borderId="1" xfId="176" applyFont="1" applyFill="1" applyBorder="1" applyAlignment="1">
      <alignment vertical="center"/>
    </xf>
    <xf numFmtId="0" fontId="40" fillId="3" borderId="1" xfId="174" applyFont="1" applyFill="1" applyBorder="1" applyAlignment="1">
      <alignment vertical="center"/>
    </xf>
    <xf numFmtId="164" fontId="40" fillId="3" borderId="1" xfId="174" applyNumberFormat="1" applyFont="1" applyFill="1" applyBorder="1" applyAlignment="1">
      <alignment vertical="center"/>
    </xf>
    <xf numFmtId="9" fontId="5" fillId="5" borderId="7" xfId="32" applyFill="1" applyBorder="1" applyAlignment="1">
      <alignment vertical="center"/>
    </xf>
    <xf numFmtId="9" fontId="5" fillId="0" borderId="0" xfId="32" applyAlignment="1">
      <alignment vertical="center"/>
    </xf>
    <xf numFmtId="4" fontId="0" fillId="0" borderId="1" xfId="0" applyNumberFormat="1" applyBorder="1" applyAlignment="1">
      <alignment vertical="center"/>
    </xf>
    <xf numFmtId="0" fontId="36" fillId="0" borderId="0" xfId="174" applyFont="1" applyAlignment="1">
      <alignment vertical="center"/>
    </xf>
    <xf numFmtId="0" fontId="34" fillId="0" borderId="0" xfId="0" applyFont="1"/>
    <xf numFmtId="9" fontId="41" fillId="5" borderId="15" xfId="32" applyFont="1" applyFill="1" applyBorder="1" applyAlignment="1">
      <alignment vertical="center"/>
    </xf>
    <xf numFmtId="10" fontId="41" fillId="0" borderId="1" xfId="176" applyNumberFormat="1" applyFont="1" applyBorder="1" applyAlignment="1">
      <alignment vertical="center"/>
    </xf>
    <xf numFmtId="9" fontId="42" fillId="3" borderId="1" xfId="176" applyFont="1" applyFill="1" applyBorder="1" applyAlignment="1">
      <alignment vertical="center"/>
    </xf>
    <xf numFmtId="164" fontId="42" fillId="3" borderId="1" xfId="174" applyNumberFormat="1" applyFont="1" applyFill="1" applyBorder="1" applyAlignment="1">
      <alignment vertical="center"/>
    </xf>
    <xf numFmtId="0" fontId="42" fillId="3" borderId="1" xfId="174" applyFont="1" applyFill="1" applyBorder="1" applyAlignment="1">
      <alignment vertical="center"/>
    </xf>
    <xf numFmtId="10" fontId="42" fillId="3" borderId="1" xfId="176" applyNumberFormat="1" applyFont="1" applyFill="1" applyBorder="1" applyAlignment="1">
      <alignment vertical="center"/>
    </xf>
    <xf numFmtId="4" fontId="5" fillId="0" borderId="54" xfId="0" applyNumberFormat="1" applyFont="1" applyBorder="1" applyAlignment="1">
      <alignment horizontal="left" vertical="center" wrapText="1"/>
    </xf>
    <xf numFmtId="4" fontId="5" fillId="0" borderId="55" xfId="0" applyNumberFormat="1" applyFont="1" applyBorder="1" applyAlignment="1">
      <alignment horizontal="left" vertical="center" wrapText="1"/>
    </xf>
    <xf numFmtId="4" fontId="5" fillId="0" borderId="56" xfId="0" applyNumberFormat="1" applyFont="1" applyBorder="1" applyAlignment="1">
      <alignment horizontal="left" vertical="center" wrapText="1"/>
    </xf>
    <xf numFmtId="4" fontId="5" fillId="0" borderId="57" xfId="0" applyNumberFormat="1" applyFont="1" applyBorder="1" applyAlignment="1">
      <alignment horizontal="left" vertical="center" wrapText="1"/>
    </xf>
    <xf numFmtId="4" fontId="5" fillId="0" borderId="58" xfId="0" applyNumberFormat="1" applyFont="1" applyBorder="1" applyAlignment="1">
      <alignment horizontal="left" vertical="center" wrapText="1"/>
    </xf>
    <xf numFmtId="4" fontId="5" fillId="0" borderId="50" xfId="0" applyNumberFormat="1" applyFont="1" applyBorder="1" applyAlignment="1">
      <alignment horizontal="center" vertical="center"/>
    </xf>
    <xf numFmtId="164" fontId="5" fillId="0" borderId="25" xfId="25" applyFont="1" applyBorder="1" applyAlignment="1">
      <alignment horizontal="left" vertical="center"/>
    </xf>
    <xf numFmtId="164" fontId="5" fillId="0" borderId="20" xfId="25" applyFont="1" applyBorder="1" applyAlignment="1">
      <alignment horizontal="left" vertical="center"/>
    </xf>
    <xf numFmtId="164" fontId="5" fillId="0" borderId="36" xfId="25" applyFont="1" applyBorder="1" applyAlignment="1">
      <alignment horizontal="left" vertical="center"/>
    </xf>
    <xf numFmtId="164" fontId="5" fillId="0" borderId="30" xfId="25" applyFont="1" applyBorder="1" applyAlignment="1">
      <alignment horizontal="left" vertical="center"/>
    </xf>
    <xf numFmtId="164" fontId="5" fillId="0" borderId="0" xfId="25" applyFont="1" applyBorder="1" applyAlignment="1">
      <alignment horizontal="left" vertical="center"/>
    </xf>
    <xf numFmtId="164" fontId="7" fillId="2" borderId="33" xfId="25" applyFont="1" applyFill="1" applyBorder="1" applyAlignment="1">
      <alignment horizontal="left" vertical="center"/>
    </xf>
    <xf numFmtId="164" fontId="5" fillId="0" borderId="40" xfId="25" applyFont="1" applyBorder="1" applyAlignment="1">
      <alignment horizontal="left" vertical="center"/>
    </xf>
    <xf numFmtId="164" fontId="5" fillId="0" borderId="41" xfId="25" applyFont="1" applyBorder="1" applyAlignment="1">
      <alignment horizontal="left" vertical="center"/>
    </xf>
    <xf numFmtId="164" fontId="5" fillId="0" borderId="42" xfId="25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left" vertical="center" wrapText="1"/>
    </xf>
    <xf numFmtId="0" fontId="5" fillId="0" borderId="51" xfId="11" applyFont="1" applyBorder="1" applyAlignment="1">
      <alignment horizontal="center" vertical="center"/>
    </xf>
    <xf numFmtId="0" fontId="5" fillId="0" borderId="52" xfId="174" applyBorder="1" applyAlignment="1">
      <alignment horizontal="center" vertical="center"/>
    </xf>
    <xf numFmtId="0" fontId="5" fillId="0" borderId="52" xfId="174" applyBorder="1" applyAlignment="1">
      <alignment horizontal="center" vertical="center" wrapText="1"/>
    </xf>
    <xf numFmtId="4" fontId="5" fillId="0" borderId="29" xfId="11" applyNumberFormat="1" applyFont="1" applyBorder="1" applyAlignment="1">
      <alignment horizontal="center" vertical="center" wrapText="1"/>
    </xf>
    <xf numFmtId="4" fontId="38" fillId="0" borderId="29" xfId="25" quotePrefix="1" applyNumberFormat="1" applyFont="1" applyFill="1" applyBorder="1" applyAlignment="1">
      <alignment horizontal="center" vertical="center"/>
    </xf>
    <xf numFmtId="4" fontId="38" fillId="0" borderId="29" xfId="25" applyNumberFormat="1" applyFont="1" applyBorder="1" applyAlignment="1">
      <alignment horizontal="center" vertical="center"/>
    </xf>
    <xf numFmtId="0" fontId="5" fillId="0" borderId="47" xfId="11" applyFont="1" applyBorder="1" applyAlignment="1">
      <alignment horizontal="center" vertical="center"/>
    </xf>
    <xf numFmtId="0" fontId="5" fillId="0" borderId="35" xfId="174" applyBorder="1" applyAlignment="1">
      <alignment horizontal="center" vertical="center"/>
    </xf>
    <xf numFmtId="4" fontId="5" fillId="0" borderId="35" xfId="11" applyNumberFormat="1" applyFont="1" applyBorder="1" applyAlignment="1">
      <alignment horizontal="center" vertical="center"/>
    </xf>
    <xf numFmtId="4" fontId="5" fillId="0" borderId="35" xfId="11" applyNumberFormat="1" applyFont="1" applyBorder="1" applyAlignment="1">
      <alignment horizontal="center" vertical="center" wrapText="1"/>
    </xf>
    <xf numFmtId="0" fontId="7" fillId="2" borderId="37" xfId="11" applyFont="1" applyFill="1" applyBorder="1" applyAlignment="1">
      <alignment horizontal="center" vertical="center"/>
    </xf>
    <xf numFmtId="0" fontId="7" fillId="2" borderId="16" xfId="174" applyFont="1" applyFill="1" applyBorder="1" applyAlignment="1">
      <alignment vertical="center"/>
    </xf>
    <xf numFmtId="4" fontId="7" fillId="2" borderId="59" xfId="174" applyNumberFormat="1" applyFont="1" applyFill="1" applyBorder="1" applyAlignment="1">
      <alignment vertical="center"/>
    </xf>
    <xf numFmtId="4" fontId="7" fillId="2" borderId="59" xfId="11" applyNumberFormat="1" applyFont="1" applyFill="1" applyBorder="1" applyAlignment="1">
      <alignment horizontal="center" vertical="center"/>
    </xf>
    <xf numFmtId="4" fontId="7" fillId="2" borderId="59" xfId="30" applyNumberFormat="1" applyFont="1" applyFill="1" applyBorder="1" applyAlignment="1">
      <alignment horizontal="center" vertical="center"/>
    </xf>
    <xf numFmtId="4" fontId="7" fillId="2" borderId="59" xfId="25" applyNumberFormat="1" applyFont="1" applyFill="1" applyBorder="1" applyAlignment="1">
      <alignment horizontal="center" vertical="center"/>
    </xf>
    <xf numFmtId="164" fontId="7" fillId="2" borderId="60" xfId="25" applyFont="1" applyFill="1" applyBorder="1" applyAlignment="1">
      <alignment horizontal="center" vertical="center"/>
    </xf>
    <xf numFmtId="4" fontId="5" fillId="0" borderId="29" xfId="11" applyNumberFormat="1" applyFont="1" applyBorder="1" applyAlignment="1">
      <alignment horizontal="center" vertical="center"/>
    </xf>
    <xf numFmtId="0" fontId="7" fillId="0" borderId="32" xfId="11" applyFont="1" applyBorder="1" applyAlignment="1">
      <alignment horizontal="center"/>
    </xf>
    <xf numFmtId="4" fontId="5" fillId="0" borderId="32" xfId="30" applyNumberFormat="1" applyFont="1" applyFill="1" applyBorder="1" applyAlignment="1">
      <alignment horizontal="center" vertical="center"/>
    </xf>
    <xf numFmtId="4" fontId="5" fillId="0" borderId="32" xfId="25" applyNumberFormat="1" applyFont="1" applyFill="1" applyBorder="1" applyAlignment="1">
      <alignment horizontal="center" vertical="center"/>
    </xf>
    <xf numFmtId="4" fontId="38" fillId="0" borderId="17" xfId="11" applyNumberFormat="1" applyFont="1" applyBorder="1" applyAlignment="1">
      <alignment horizontal="center" vertical="center"/>
    </xf>
    <xf numFmtId="4" fontId="38" fillId="0" borderId="29" xfId="11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11" applyFont="1" applyBorder="1" applyAlignment="1">
      <alignment horizontal="center" vertical="center"/>
    </xf>
    <xf numFmtId="0" fontId="5" fillId="0" borderId="44" xfId="11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4" fontId="5" fillId="0" borderId="44" xfId="0" applyNumberFormat="1" applyFont="1" applyBorder="1" applyAlignment="1">
      <alignment horizontal="left" vertical="center" wrapText="1"/>
    </xf>
    <xf numFmtId="4" fontId="5" fillId="0" borderId="44" xfId="25" quotePrefix="1" applyNumberFormat="1" applyFont="1" applyFill="1" applyBorder="1" applyAlignment="1">
      <alignment horizontal="center" vertical="center"/>
    </xf>
    <xf numFmtId="4" fontId="5" fillId="0" borderId="29" xfId="174" applyNumberForma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 wrapText="1"/>
    </xf>
    <xf numFmtId="4" fontId="5" fillId="0" borderId="61" xfId="174" applyNumberFormat="1" applyBorder="1" applyAlignment="1">
      <alignment horizontal="center" vertical="center"/>
    </xf>
    <xf numFmtId="0" fontId="7" fillId="0" borderId="18" xfId="11" applyFont="1" applyBorder="1" applyAlignment="1">
      <alignment horizontal="center" vertical="center"/>
    </xf>
    <xf numFmtId="0" fontId="7" fillId="0" borderId="19" xfId="11" applyFont="1" applyBorder="1" applyAlignment="1">
      <alignment vertical="center"/>
    </xf>
    <xf numFmtId="4" fontId="7" fillId="0" borderId="19" xfId="11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 wrapText="1"/>
    </xf>
    <xf numFmtId="4" fontId="38" fillId="0" borderId="35" xfId="25" quotePrefix="1" applyNumberFormat="1" applyFont="1" applyFill="1" applyBorder="1" applyAlignment="1">
      <alignment horizontal="center" vertical="center"/>
    </xf>
    <xf numFmtId="4" fontId="38" fillId="0" borderId="35" xfId="0" applyNumberFormat="1" applyFont="1" applyBorder="1" applyAlignment="1">
      <alignment horizontal="center" vertical="center"/>
    </xf>
    <xf numFmtId="164" fontId="5" fillId="0" borderId="22" xfId="25" applyFont="1" applyBorder="1" applyAlignment="1">
      <alignment vertical="center"/>
    </xf>
    <xf numFmtId="164" fontId="5" fillId="0" borderId="25" xfId="25" applyFont="1" applyBorder="1" applyAlignment="1">
      <alignment vertical="center"/>
    </xf>
    <xf numFmtId="164" fontId="5" fillId="0" borderId="20" xfId="25" applyFont="1" applyBorder="1" applyAlignment="1">
      <alignment vertical="center"/>
    </xf>
    <xf numFmtId="164" fontId="5" fillId="0" borderId="33" xfId="25" applyFont="1" applyBorder="1" applyAlignment="1">
      <alignment vertical="center"/>
    </xf>
    <xf numFmtId="4" fontId="5" fillId="0" borderId="29" xfId="174" applyNumberFormat="1" applyBorder="1" applyAlignment="1">
      <alignment horizontal="center" vertical="center" wrapText="1"/>
    </xf>
    <xf numFmtId="0" fontId="5" fillId="0" borderId="18" xfId="174" applyBorder="1" applyAlignment="1">
      <alignment horizontal="center" vertical="center" wrapText="1"/>
    </xf>
    <xf numFmtId="0" fontId="5" fillId="0" borderId="23" xfId="174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24" xfId="25" applyNumberFormat="1" applyFont="1" applyBorder="1" applyAlignment="1">
      <alignment horizontal="center" vertical="center" wrapText="1"/>
    </xf>
    <xf numFmtId="164" fontId="7" fillId="0" borderId="25" xfId="25" applyFont="1" applyBorder="1" applyAlignment="1">
      <alignment horizontal="left" vertical="center"/>
    </xf>
    <xf numFmtId="164" fontId="38" fillId="0" borderId="17" xfId="25" applyFont="1" applyBorder="1" applyAlignment="1">
      <alignment horizontal="right" vertical="center"/>
    </xf>
    <xf numFmtId="164" fontId="38" fillId="0" borderId="17" xfId="25" quotePrefix="1" applyFont="1" applyFill="1" applyBorder="1" applyAlignment="1">
      <alignment horizontal="center" vertical="center"/>
    </xf>
    <xf numFmtId="164" fontId="5" fillId="0" borderId="35" xfId="25" quotePrefix="1" applyFont="1" applyFill="1" applyBorder="1" applyAlignment="1">
      <alignment horizontal="center" vertical="center"/>
    </xf>
    <xf numFmtId="164" fontId="5" fillId="0" borderId="35" xfId="25" quotePrefix="1" applyFont="1" applyFill="1" applyBorder="1" applyAlignment="1">
      <alignment horizontal="right" vertical="center"/>
    </xf>
    <xf numFmtId="0" fontId="5" fillId="0" borderId="0" xfId="0" applyFont="1"/>
    <xf numFmtId="0" fontId="43" fillId="0" borderId="0" xfId="174" applyFont="1" applyAlignment="1">
      <alignment horizontal="left"/>
    </xf>
    <xf numFmtId="0" fontId="0" fillId="0" borderId="0" xfId="174" applyFont="1"/>
    <xf numFmtId="0" fontId="37" fillId="0" borderId="62" xfId="174" applyFont="1" applyBorder="1" applyAlignment="1">
      <alignment horizontal="center" vertical="center"/>
    </xf>
    <xf numFmtId="10" fontId="37" fillId="9" borderId="62" xfId="174" applyNumberFormat="1" applyFont="1" applyFill="1" applyBorder="1" applyAlignment="1" applyProtection="1">
      <alignment horizontal="center" vertical="center"/>
      <protection locked="0"/>
    </xf>
    <xf numFmtId="10" fontId="37" fillId="0" borderId="62" xfId="174" applyNumberFormat="1" applyFont="1" applyBorder="1" applyAlignment="1">
      <alignment horizontal="center" vertical="center"/>
    </xf>
    <xf numFmtId="10" fontId="37" fillId="0" borderId="62" xfId="174" applyNumberFormat="1" applyFont="1" applyBorder="1" applyAlignment="1">
      <alignment horizontal="center" vertical="center" wrapText="1"/>
    </xf>
    <xf numFmtId="0" fontId="37" fillId="0" borderId="62" xfId="174" applyFont="1" applyBorder="1" applyAlignment="1">
      <alignment horizontal="center" vertical="center" wrapText="1"/>
    </xf>
    <xf numFmtId="0" fontId="37" fillId="11" borderId="62" xfId="174" applyFont="1" applyFill="1" applyBorder="1" applyAlignment="1">
      <alignment horizontal="center" vertical="center" wrapText="1"/>
    </xf>
    <xf numFmtId="10" fontId="36" fillId="11" borderId="62" xfId="174" applyNumberFormat="1" applyFont="1" applyFill="1" applyBorder="1" applyAlignment="1">
      <alignment horizontal="center" vertical="center"/>
    </xf>
    <xf numFmtId="0" fontId="44" fillId="0" borderId="0" xfId="174" applyFont="1" applyAlignment="1">
      <alignment horizontal="right" vertical="center"/>
    </xf>
    <xf numFmtId="0" fontId="0" fillId="0" borderId="0" xfId="174" applyFont="1" applyAlignment="1">
      <alignment horizontal="center" vertical="top"/>
    </xf>
    <xf numFmtId="10" fontId="33" fillId="0" borderId="0" xfId="32" applyNumberFormat="1" applyFont="1" applyFill="1" applyBorder="1" applyAlignment="1">
      <alignment horizontal="center" vertical="center"/>
    </xf>
    <xf numFmtId="164" fontId="8" fillId="0" borderId="0" xfId="29" applyFont="1" applyFill="1" applyAlignment="1">
      <alignment horizontal="center" vertical="center"/>
    </xf>
    <xf numFmtId="164" fontId="5" fillId="0" borderId="46" xfId="25" applyFont="1" applyBorder="1" applyAlignment="1">
      <alignment horizontal="right" vertical="center"/>
    </xf>
    <xf numFmtId="9" fontId="42" fillId="3" borderId="1" xfId="32" applyFont="1" applyFill="1" applyBorder="1" applyAlignment="1">
      <alignment vertical="center"/>
    </xf>
    <xf numFmtId="9" fontId="40" fillId="3" borderId="1" xfId="32" applyFont="1" applyFill="1" applyBorder="1" applyAlignment="1">
      <alignment vertical="center"/>
    </xf>
    <xf numFmtId="0" fontId="5" fillId="0" borderId="66" xfId="0" applyFont="1" applyBorder="1" applyAlignment="1">
      <alignment horizontal="center" vertical="center" wrapText="1"/>
    </xf>
    <xf numFmtId="0" fontId="5" fillId="3" borderId="26" xfId="11" applyFont="1" applyFill="1" applyBorder="1" applyAlignment="1">
      <alignment horizontal="center" vertical="center"/>
    </xf>
    <xf numFmtId="0" fontId="5" fillId="3" borderId="35" xfId="174" applyFill="1" applyBorder="1" applyAlignment="1">
      <alignment horizontal="center" vertical="center"/>
    </xf>
    <xf numFmtId="164" fontId="8" fillId="0" borderId="0" xfId="29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164" fontId="8" fillId="0" borderId="0" xfId="29" applyFont="1" applyFill="1" applyAlignment="1">
      <alignment horizontal="center" vertical="center"/>
    </xf>
    <xf numFmtId="164" fontId="36" fillId="0" borderId="0" xfId="29" applyFont="1" applyFill="1" applyAlignment="1">
      <alignment horizontal="left" vertical="center"/>
    </xf>
    <xf numFmtId="164" fontId="34" fillId="0" borderId="0" xfId="29" applyFont="1" applyFill="1" applyAlignment="1">
      <alignment vertical="center"/>
    </xf>
    <xf numFmtId="164" fontId="36" fillId="0" borderId="0" xfId="25" applyFont="1" applyAlignment="1">
      <alignment horizontal="left" vertical="center"/>
    </xf>
    <xf numFmtId="164" fontId="5" fillId="0" borderId="46" xfId="25" applyFont="1" applyBorder="1" applyAlignment="1">
      <alignment horizontal="center" vertical="center"/>
    </xf>
    <xf numFmtId="164" fontId="34" fillId="0" borderId="16" xfId="25" applyFont="1" applyBorder="1" applyAlignment="1">
      <alignment horizontal="center" vertical="center"/>
    </xf>
    <xf numFmtId="164" fontId="5" fillId="0" borderId="0" xfId="25" applyFont="1" applyAlignment="1">
      <alignment horizontal="center" vertical="center"/>
    </xf>
    <xf numFmtId="4" fontId="7" fillId="4" borderId="15" xfId="11" applyNumberFormat="1" applyFont="1" applyFill="1" applyBorder="1" applyAlignment="1">
      <alignment horizontal="center" vertical="center"/>
    </xf>
    <xf numFmtId="4" fontId="7" fillId="4" borderId="8" xfId="11" applyNumberFormat="1" applyFont="1" applyFill="1" applyBorder="1" applyAlignment="1">
      <alignment horizontal="center" vertical="center"/>
    </xf>
    <xf numFmtId="4" fontId="7" fillId="4" borderId="14" xfId="11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0" fontId="35" fillId="0" borderId="16" xfId="30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35" fillId="0" borderId="0" xfId="301" applyAlignment="1">
      <alignment horizontal="left"/>
    </xf>
    <xf numFmtId="0" fontId="0" fillId="0" borderId="0" xfId="0" applyAlignment="1">
      <alignment horizontal="left"/>
    </xf>
    <xf numFmtId="0" fontId="7" fillId="5" borderId="2" xfId="174" applyFont="1" applyFill="1" applyBorder="1" applyAlignment="1">
      <alignment horizontal="center" vertical="center"/>
    </xf>
    <xf numFmtId="0" fontId="7" fillId="5" borderId="3" xfId="174" applyFont="1" applyFill="1" applyBorder="1" applyAlignment="1">
      <alignment horizontal="center" vertical="center"/>
    </xf>
    <xf numFmtId="0" fontId="5" fillId="8" borderId="1" xfId="174" applyFill="1" applyBorder="1" applyAlignment="1">
      <alignment horizontal="center"/>
    </xf>
    <xf numFmtId="0" fontId="5" fillId="5" borderId="1" xfId="174" applyFill="1" applyBorder="1" applyAlignment="1">
      <alignment horizontal="center" vertical="center"/>
    </xf>
    <xf numFmtId="0" fontId="7" fillId="0" borderId="0" xfId="174" applyFont="1" applyAlignment="1">
      <alignment horizontal="center" vertical="center"/>
    </xf>
    <xf numFmtId="0" fontId="33" fillId="0" borderId="0" xfId="174" applyFont="1" applyAlignment="1">
      <alignment horizontal="center" vertical="center"/>
    </xf>
    <xf numFmtId="0" fontId="33" fillId="0" borderId="53" xfId="174" applyFont="1" applyBorder="1" applyAlignment="1">
      <alignment horizontal="center" vertical="center"/>
    </xf>
    <xf numFmtId="0" fontId="33" fillId="0" borderId="46" xfId="174" applyFont="1" applyBorder="1" applyAlignment="1">
      <alignment horizontal="center" vertical="center"/>
    </xf>
    <xf numFmtId="0" fontId="5" fillId="5" borderId="9" xfId="174" applyFill="1" applyBorder="1" applyAlignment="1">
      <alignment horizontal="center" vertical="center"/>
    </xf>
    <xf numFmtId="0" fontId="5" fillId="5" borderId="6" xfId="174" applyFill="1" applyBorder="1" applyAlignment="1">
      <alignment horizontal="center" vertical="center"/>
    </xf>
    <xf numFmtId="164" fontId="34" fillId="0" borderId="0" xfId="29" applyFont="1" applyFill="1" applyAlignment="1">
      <alignment horizontal="left" vertical="center"/>
    </xf>
    <xf numFmtId="164" fontId="34" fillId="0" borderId="65" xfId="29" applyFont="1" applyFill="1" applyBorder="1" applyAlignment="1">
      <alignment horizontal="left" vertical="center"/>
    </xf>
    <xf numFmtId="0" fontId="0" fillId="0" borderId="62" xfId="174" applyFont="1" applyBorder="1" applyAlignment="1">
      <alignment horizontal="center" vertical="center" wrapText="1"/>
    </xf>
    <xf numFmtId="4" fontId="36" fillId="0" borderId="62" xfId="174" applyNumberFormat="1" applyFont="1" applyBorder="1" applyAlignment="1">
      <alignment horizontal="center" vertical="center" wrapText="1"/>
    </xf>
    <xf numFmtId="4" fontId="36" fillId="0" borderId="62" xfId="174" applyNumberFormat="1" applyFont="1" applyBorder="1" applyAlignment="1">
      <alignment horizontal="center" vertical="center"/>
    </xf>
    <xf numFmtId="0" fontId="45" fillId="0" borderId="0" xfId="174" applyFont="1" applyAlignment="1">
      <alignment horizontal="left" vertical="center" indent="1"/>
    </xf>
    <xf numFmtId="0" fontId="0" fillId="0" borderId="0" xfId="174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top"/>
    </xf>
    <xf numFmtId="0" fontId="7" fillId="0" borderId="62" xfId="174" applyFont="1" applyBorder="1" applyAlignment="1">
      <alignment horizontal="center" vertical="center"/>
    </xf>
    <xf numFmtId="0" fontId="7" fillId="0" borderId="63" xfId="302" applyFont="1" applyBorder="1" applyAlignment="1">
      <alignment horizontal="left" vertical="top"/>
    </xf>
    <xf numFmtId="0" fontId="43" fillId="0" borderId="62" xfId="174" applyFont="1" applyBorder="1" applyAlignment="1">
      <alignment horizontal="left" wrapText="1"/>
    </xf>
    <xf numFmtId="10" fontId="43" fillId="9" borderId="62" xfId="174" applyNumberFormat="1" applyFont="1" applyFill="1" applyBorder="1" applyAlignment="1" applyProtection="1">
      <alignment horizontal="center"/>
      <protection locked="0"/>
    </xf>
    <xf numFmtId="0" fontId="43" fillId="0" borderId="62" xfId="174" applyFont="1" applyBorder="1" applyAlignment="1">
      <alignment horizontal="left"/>
    </xf>
    <xf numFmtId="0" fontId="33" fillId="0" borderId="62" xfId="174" applyFont="1" applyBorder="1" applyAlignment="1">
      <alignment horizontal="center"/>
    </xf>
    <xf numFmtId="179" fontId="43" fillId="10" borderId="64" xfId="303" applyFont="1" applyFill="1" applyBorder="1" applyAlignment="1" applyProtection="1">
      <alignment horizontal="left"/>
      <protection locked="0"/>
    </xf>
    <xf numFmtId="0" fontId="36" fillId="0" borderId="62" xfId="174" applyFont="1" applyBorder="1" applyAlignment="1">
      <alignment horizontal="center" vertical="center"/>
    </xf>
    <xf numFmtId="0" fontId="37" fillId="11" borderId="62" xfId="174" applyFont="1" applyFill="1" applyBorder="1" applyAlignment="1">
      <alignment horizontal="center" vertical="center" wrapText="1"/>
    </xf>
  </cellXfs>
  <cellStyles count="304">
    <cellStyle name="_x000d_&#10;JournalTemplate=C:\COMFO\CTALK\JOURSTD.TPL_x000d_&#10;LbStateAddress=3 3 0 251 1 89 2 311_x000d_&#10;LbStateJou" xfId="78"/>
    <cellStyle name="20% - Ênfase1 100" xfId="1"/>
    <cellStyle name="60% - Ênfase6 37" xfId="2"/>
    <cellStyle name="Comma_Arauco Piping list" xfId="79"/>
    <cellStyle name="Comma0" xfId="80"/>
    <cellStyle name="CORES" xfId="81"/>
    <cellStyle name="Currency [0]_Arauco Piping list" xfId="82"/>
    <cellStyle name="Currency_Arauco Piping list" xfId="83"/>
    <cellStyle name="Currency0" xfId="84"/>
    <cellStyle name="Data" xfId="85"/>
    <cellStyle name="Date" xfId="86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7"/>
    <cellStyle name="Excel Built-in Normal 3" xfId="87"/>
    <cellStyle name="Excel_BuiltIn_Comma" xfId="8"/>
    <cellStyle name="Fixed" xfId="88"/>
    <cellStyle name="Fixo" xfId="89"/>
    <cellStyle name="Followed Hyperlink" xfId="90"/>
    <cellStyle name="Grey" xfId="91"/>
    <cellStyle name="Heading" xfId="9"/>
    <cellStyle name="Heading 1" xfId="92"/>
    <cellStyle name="Heading 2" xfId="93"/>
    <cellStyle name="Heading1" xfId="10"/>
    <cellStyle name="Hiperlink 2" xfId="94"/>
    <cellStyle name="Hyperlink" xfId="301" builtinId="8"/>
    <cellStyle name="Indefinido" xfId="95"/>
    <cellStyle name="Input [yellow]" xfId="96"/>
    <cellStyle name="material" xfId="97"/>
    <cellStyle name="material 2" xfId="191"/>
    <cellStyle name="MINIPG" xfId="98"/>
    <cellStyle name="Moeda 2" xfId="99"/>
    <cellStyle name="Moeda_Composicao BDI v2.1" xfId="303"/>
    <cellStyle name="Normal" xfId="0" builtinId="0"/>
    <cellStyle name="Normal - Style1" xfId="100"/>
    <cellStyle name="Normal 10" xfId="101"/>
    <cellStyle name="Normal 10 2" xfId="184"/>
    <cellStyle name="Normal 11" xfId="102"/>
    <cellStyle name="Normal 11 2" xfId="189"/>
    <cellStyle name="Normal 12" xfId="103"/>
    <cellStyle name="Normal 12 2" xfId="192"/>
    <cellStyle name="Normal 13" xfId="104"/>
    <cellStyle name="Normal 13 2" xfId="105"/>
    <cellStyle name="Normal 13 2 2" xfId="193"/>
    <cellStyle name="Normal 13 3" xfId="106"/>
    <cellStyle name="Normal 13 3 2" xfId="194"/>
    <cellStyle name="Normal 13 4" xfId="182"/>
    <cellStyle name="Normal 13 5" xfId="195"/>
    <cellStyle name="Normal 14" xfId="107"/>
    <cellStyle name="Normal 14 2" xfId="108"/>
    <cellStyle name="Normal 14 2 2" xfId="196"/>
    <cellStyle name="Normal 14 3" xfId="109"/>
    <cellStyle name="Normal 14 3 2" xfId="197"/>
    <cellStyle name="Normal 14 4" xfId="198"/>
    <cellStyle name="Normal 15" xfId="110"/>
    <cellStyle name="Normal 15 2" xfId="111"/>
    <cellStyle name="Normal 16" xfId="112"/>
    <cellStyle name="Normal 16 2" xfId="113"/>
    <cellStyle name="Normal 16 2 2" xfId="199"/>
    <cellStyle name="Normal 16 3" xfId="114"/>
    <cellStyle name="Normal 16 3 2" xfId="200"/>
    <cellStyle name="Normal 16 4" xfId="201"/>
    <cellStyle name="Normal 17" xfId="52"/>
    <cellStyle name="Normal 17 2" xfId="202"/>
    <cellStyle name="Normal 18" xfId="62"/>
    <cellStyle name="Normal 18 2" xfId="203"/>
    <cellStyle name="Normal 19" xfId="43"/>
    <cellStyle name="Normal 19 2" xfId="204"/>
    <cellStyle name="Normal 2" xfId="11"/>
    <cellStyle name="Normal 2 2" xfId="115"/>
    <cellStyle name="Normal 2 2 2" xfId="174"/>
    <cellStyle name="Normal 20" xfId="48"/>
    <cellStyle name="Normal 20 2" xfId="205"/>
    <cellStyle name="Normal 21" xfId="57"/>
    <cellStyle name="Normal 21 2" xfId="206"/>
    <cellStyle name="Normal 22" xfId="39"/>
    <cellStyle name="Normal 22 2" xfId="207"/>
    <cellStyle name="Normal 23" xfId="35"/>
    <cellStyle name="Normal 23 2" xfId="208"/>
    <cellStyle name="Normal 24" xfId="37"/>
    <cellStyle name="Normal 24 2" xfId="209"/>
    <cellStyle name="Normal 25" xfId="66"/>
    <cellStyle name="Normal 25 2" xfId="210"/>
    <cellStyle name="Normal 26" xfId="77"/>
    <cellStyle name="Normal 26 2" xfId="211"/>
    <cellStyle name="Normal 27" xfId="71"/>
    <cellStyle name="Normal 27 2" xfId="212"/>
    <cellStyle name="Normal 28" xfId="68"/>
    <cellStyle name="Normal 28 2" xfId="213"/>
    <cellStyle name="Normal 29" xfId="59"/>
    <cellStyle name="Normal 29 2" xfId="214"/>
    <cellStyle name="Normal 3" xfId="12"/>
    <cellStyle name="Normal 3 2" xfId="116"/>
    <cellStyle name="Normal 3 2 2" xfId="215"/>
    <cellStyle name="Normal 3 3" xfId="117"/>
    <cellStyle name="Normal 3 4" xfId="216"/>
    <cellStyle name="Normal 30" xfId="33"/>
    <cellStyle name="Normal 30 2" xfId="217"/>
    <cellStyle name="Normal 31" xfId="64"/>
    <cellStyle name="Normal 31 2" xfId="218"/>
    <cellStyle name="Normal 32" xfId="41"/>
    <cellStyle name="Normal 32 2" xfId="219"/>
    <cellStyle name="Normal 33" xfId="50"/>
    <cellStyle name="Normal 33 2" xfId="220"/>
    <cellStyle name="Normal 34" xfId="75"/>
    <cellStyle name="Normal 34 2" xfId="221"/>
    <cellStyle name="Normal 35" xfId="60"/>
    <cellStyle name="Normal 35 2" xfId="222"/>
    <cellStyle name="Normal 36" xfId="46"/>
    <cellStyle name="Normal 36 2" xfId="223"/>
    <cellStyle name="Normal 37" xfId="118"/>
    <cellStyle name="Normal 37 2" xfId="119"/>
    <cellStyle name="Normal 37 2 2" xfId="224"/>
    <cellStyle name="Normal 37 3" xfId="225"/>
    <cellStyle name="Normal 38" xfId="120"/>
    <cellStyle name="Normal 38 2" xfId="226"/>
    <cellStyle name="Normal 39" xfId="34"/>
    <cellStyle name="Normal 39 2" xfId="227"/>
    <cellStyle name="Normal 4" xfId="13"/>
    <cellStyle name="Normal 4 2" xfId="185"/>
    <cellStyle name="Normal 4 3" xfId="228"/>
    <cellStyle name="Normal 40" xfId="36"/>
    <cellStyle name="Normal 40 2" xfId="229"/>
    <cellStyle name="Normal 41" xfId="38"/>
    <cellStyle name="Normal 41 2" xfId="230"/>
    <cellStyle name="Normal 42" xfId="40"/>
    <cellStyle name="Normal 42 2" xfId="231"/>
    <cellStyle name="Normal 43" xfId="42"/>
    <cellStyle name="Normal 43 2" xfId="232"/>
    <cellStyle name="Normal 44" xfId="44"/>
    <cellStyle name="Normal 44 2" xfId="233"/>
    <cellStyle name="Normal 45" xfId="45"/>
    <cellStyle name="Normal 45 2" xfId="234"/>
    <cellStyle name="Normal 46" xfId="47"/>
    <cellStyle name="Normal 46 2" xfId="235"/>
    <cellStyle name="Normal 47" xfId="49"/>
    <cellStyle name="Normal 47 2" xfId="236"/>
    <cellStyle name="Normal 48" xfId="51"/>
    <cellStyle name="Normal 48 2" xfId="237"/>
    <cellStyle name="Normal 49" xfId="53"/>
    <cellStyle name="Normal 49 2" xfId="238"/>
    <cellStyle name="Normal 5" xfId="121"/>
    <cellStyle name="Normal 5 2" xfId="122"/>
    <cellStyle name="Normal 5 2 2" xfId="123"/>
    <cellStyle name="Normal 5 2 2 2" xfId="239"/>
    <cellStyle name="Normal 5 2 3" xfId="124"/>
    <cellStyle name="Normal 5 2 3 2" xfId="240"/>
    <cellStyle name="Normal 5 2 4" xfId="241"/>
    <cellStyle name="Normal 5 3" xfId="125"/>
    <cellStyle name="Normal 5 3 2" xfId="242"/>
    <cellStyle name="Normal 5 4" xfId="126"/>
    <cellStyle name="Normal 5 4 2" xfId="243"/>
    <cellStyle name="Normal 5 5" xfId="244"/>
    <cellStyle name="Normal 50" xfId="54"/>
    <cellStyle name="Normal 50 2" xfId="245"/>
    <cellStyle name="Normal 51" xfId="55"/>
    <cellStyle name="Normal 51 2" xfId="246"/>
    <cellStyle name="Normal 52" xfId="56"/>
    <cellStyle name="Normal 52 2" xfId="247"/>
    <cellStyle name="Normal 53" xfId="58"/>
    <cellStyle name="Normal 53 2" xfId="248"/>
    <cellStyle name="Normal 54" xfId="61"/>
    <cellStyle name="Normal 54 2" xfId="249"/>
    <cellStyle name="Normal 55" xfId="63"/>
    <cellStyle name="Normal 55 2" xfId="250"/>
    <cellStyle name="Normal 56" xfId="65"/>
    <cellStyle name="Normal 56 2" xfId="251"/>
    <cellStyle name="Normal 57" xfId="67"/>
    <cellStyle name="Normal 57 2" xfId="252"/>
    <cellStyle name="Normal 58" xfId="69"/>
    <cellStyle name="Normal 58 2" xfId="253"/>
    <cellStyle name="Normal 59" xfId="70"/>
    <cellStyle name="Normal 59 2" xfId="254"/>
    <cellStyle name="Normal 6" xfId="14"/>
    <cellStyle name="Normal 6 2" xfId="127"/>
    <cellStyle name="Normal 6 2 2" xfId="128"/>
    <cellStyle name="Normal 6 2 2 2" xfId="129"/>
    <cellStyle name="Normal 6 2 2 2 2" xfId="255"/>
    <cellStyle name="Normal 6 2 2 3" xfId="130"/>
    <cellStyle name="Normal 6 2 2 3 2" xfId="256"/>
    <cellStyle name="Normal 6 2 2 4" xfId="257"/>
    <cellStyle name="Normal 6 2 3" xfId="131"/>
    <cellStyle name="Normal 6 2 3 2" xfId="258"/>
    <cellStyle name="Normal 6 2 4" xfId="132"/>
    <cellStyle name="Normal 6 2 4 2" xfId="259"/>
    <cellStyle name="Normal 6 2 5" xfId="260"/>
    <cellStyle name="Normal 6 3" xfId="133"/>
    <cellStyle name="Normal 6 3 2" xfId="134"/>
    <cellStyle name="Normal 6 3 2 2" xfId="261"/>
    <cellStyle name="Normal 6 3 3" xfId="135"/>
    <cellStyle name="Normal 6 3 3 2" xfId="262"/>
    <cellStyle name="Normal 6 3 4" xfId="263"/>
    <cellStyle name="Normal 6 4" xfId="136"/>
    <cellStyle name="Normal 6 4 2" xfId="264"/>
    <cellStyle name="Normal 6 5" xfId="137"/>
    <cellStyle name="Normal 6 5 2" xfId="265"/>
    <cellStyle name="Normal 6 6" xfId="266"/>
    <cellStyle name="Normal 60" xfId="72"/>
    <cellStyle name="Normal 60 2" xfId="267"/>
    <cellStyle name="Normal 61" xfId="73"/>
    <cellStyle name="Normal 61 2" xfId="268"/>
    <cellStyle name="Normal 62" xfId="74"/>
    <cellStyle name="Normal 62 2" xfId="269"/>
    <cellStyle name="Normal 63" xfId="76"/>
    <cellStyle name="Normal 63 2" xfId="270"/>
    <cellStyle name="Normal 64" xfId="177"/>
    <cellStyle name="Normal 64 2" xfId="178"/>
    <cellStyle name="Normal 65" xfId="179"/>
    <cellStyle name="Normal 66" xfId="271"/>
    <cellStyle name="Normal 67" xfId="272"/>
    <cellStyle name="Normal 7" xfId="15"/>
    <cellStyle name="Normal 7 2" xfId="138"/>
    <cellStyle name="Normal 7 2 2" xfId="273"/>
    <cellStyle name="Normal 7 3" xfId="274"/>
    <cellStyle name="Normal 8" xfId="139"/>
    <cellStyle name="Normal 8 2" xfId="140"/>
    <cellStyle name="Normal 8 2 2" xfId="275"/>
    <cellStyle name="Normal 8 3" xfId="276"/>
    <cellStyle name="Normal 9" xfId="16"/>
    <cellStyle name="Normal 9 2" xfId="277"/>
    <cellStyle name="Normal_FICHA DE VERIFICAÇÃO PRELIMINAR - Plano R" xfId="302"/>
    <cellStyle name="Normal1" xfId="141"/>
    <cellStyle name="Normal2" xfId="142"/>
    <cellStyle name="Normal3" xfId="143"/>
    <cellStyle name="Percent [2]" xfId="144"/>
    <cellStyle name="Percent [2] 2" xfId="278"/>
    <cellStyle name="Percent_Sheet1" xfId="145"/>
    <cellStyle name="Percentual" xfId="146"/>
    <cellStyle name="Ponto" xfId="147"/>
    <cellStyle name="Porcentagem" xfId="32" builtinId="5"/>
    <cellStyle name="Porcentagem 2" xfId="17"/>
    <cellStyle name="Porcentagem 2 2" xfId="176"/>
    <cellStyle name="Porcentagem 3" xfId="18"/>
    <cellStyle name="Porcentagem 3 2" xfId="148"/>
    <cellStyle name="Porcentagem 3 3" xfId="279"/>
    <cellStyle name="Porcentagem 4" xfId="19"/>
    <cellStyle name="Porcentagem 4 2" xfId="20"/>
    <cellStyle name="Porcentagem 4 2 2" xfId="186"/>
    <cellStyle name="Porcentagem 5" xfId="149"/>
    <cellStyle name="Porcentagem 6" xfId="150"/>
    <cellStyle name="Porcentagem 6 2" xfId="151"/>
    <cellStyle name="Porcentagem 6 2 2" xfId="280"/>
    <cellStyle name="Porcentagem 6 3" xfId="281"/>
    <cellStyle name="Porcentagem 7" xfId="180"/>
    <cellStyle name="Result" xfId="21"/>
    <cellStyle name="Result2" xfId="22"/>
    <cellStyle name="Sep. milhar [0]" xfId="152"/>
    <cellStyle name="Separador de m" xfId="153"/>
    <cellStyle name="Separador de milhares" xfId="25" builtinId="3"/>
    <cellStyle name="Separador de milhares 2" xfId="23"/>
    <cellStyle name="Separador de milhares 2 2" xfId="154"/>
    <cellStyle name="Separador de milhares 2 2 2" xfId="282"/>
    <cellStyle name="Separador de milhares 2 3" xfId="283"/>
    <cellStyle name="Separador de milhares 3" xfId="155"/>
    <cellStyle name="Separador de milhares 4" xfId="24"/>
    <cellStyle name="Sepavador de milhares [0]_Pasta2" xfId="156"/>
    <cellStyle name="Standard_RP100_01 (metr.)" xfId="157"/>
    <cellStyle name="Titulo1" xfId="158"/>
    <cellStyle name="Titulo2" xfId="159"/>
    <cellStyle name="Vírgula 10" xfId="160"/>
    <cellStyle name="Vírgula 10 2" xfId="161"/>
    <cellStyle name="Vírgula 10 2 2" xfId="284"/>
    <cellStyle name="Vírgula 10 3" xfId="285"/>
    <cellStyle name="Vírgula 11" xfId="162"/>
    <cellStyle name="Vírgula 11 2" xfId="286"/>
    <cellStyle name="Vírgula 12" xfId="163"/>
    <cellStyle name="Vírgula 12 2" xfId="287"/>
    <cellStyle name="Vírgula 13" xfId="181"/>
    <cellStyle name="Vírgula 2" xfId="26"/>
    <cellStyle name="Vírgula 2 2" xfId="164"/>
    <cellStyle name="Vírgula 2 2 2" xfId="190"/>
    <cellStyle name="Vírgula 2 3" xfId="175"/>
    <cellStyle name="Vírgula 2 4" xfId="288"/>
    <cellStyle name="Vírgula 3" xfId="27"/>
    <cellStyle name="Vírgula 3 2" xfId="28"/>
    <cellStyle name="Vírgula 3 2 2" xfId="289"/>
    <cellStyle name="Vírgula 3 3" xfId="290"/>
    <cellStyle name="Vírgula 4" xfId="29"/>
    <cellStyle name="Vírgula 5" xfId="30"/>
    <cellStyle name="Vírgula 5 2" xfId="31"/>
    <cellStyle name="Vírgula 5 2 2" xfId="187"/>
    <cellStyle name="Vírgula 6" xfId="165"/>
    <cellStyle name="Vírgula 6 2" xfId="166"/>
    <cellStyle name="Vírgula 6 2 2" xfId="291"/>
    <cellStyle name="Vírgula 6 3" xfId="188"/>
    <cellStyle name="Vírgula 6 3 2" xfId="292"/>
    <cellStyle name="Vírgula 6 4" xfId="293"/>
    <cellStyle name="Vírgula 7" xfId="167"/>
    <cellStyle name="Vírgula 7 2" xfId="168"/>
    <cellStyle name="Vírgula 7 2 2" xfId="294"/>
    <cellStyle name="Vírgula 7 3" xfId="169"/>
    <cellStyle name="Vírgula 7 3 2" xfId="295"/>
    <cellStyle name="Vírgula 7 4" xfId="183"/>
    <cellStyle name="Vírgula 7 4 2" xfId="296"/>
    <cellStyle name="Vírgula 7 5" xfId="297"/>
    <cellStyle name="Vírgula 8" xfId="170"/>
    <cellStyle name="Vírgula 8 2" xfId="171"/>
    <cellStyle name="Vírgula 8 2 2" xfId="298"/>
    <cellStyle name="Vírgula 8 3" xfId="172"/>
    <cellStyle name="Vírgula 8 3 2" xfId="299"/>
    <cellStyle name="Vírgula 8 4" xfId="300"/>
    <cellStyle name="Vírgula 9" xfId="173"/>
  </cellStyles>
  <dxfs count="7">
    <dxf>
      <font>
        <b val="0"/>
        <condense val="0"/>
        <extend val="0"/>
        <color indexed="17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color indexed="1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142874</xdr:rowOff>
    </xdr:from>
    <xdr:to>
      <xdr:col>4</xdr:col>
      <xdr:colOff>2446979</xdr:colOff>
      <xdr:row>0</xdr:row>
      <xdr:rowOff>933449</xdr:rowOff>
    </xdr:to>
    <xdr:pic>
      <xdr:nvPicPr>
        <xdr:cNvPr id="2" name="Imagem 3" descr="LOGO GOVERNO 2021 -2024.jpg">
          <a:extLst>
            <a:ext uri="{FF2B5EF4-FFF2-40B4-BE49-F238E27FC236}">
              <a16:creationId xmlns:a16="http://schemas.microsoft.com/office/drawing/2014/main" xmlns="" id="{D2EC1E09-AE38-4698-9C03-E9A4ECEC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49" y="142874"/>
          <a:ext cx="487585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47624</xdr:colOff>
      <xdr:row>7</xdr:row>
      <xdr:rowOff>123825</xdr:rowOff>
    </xdr:from>
    <xdr:to>
      <xdr:col>4</xdr:col>
      <xdr:colOff>1563680</xdr:colOff>
      <xdr:row>20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C107664C-9947-8FB9-EC46-EBDA22D5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0974" y="2695575"/>
          <a:ext cx="4135431" cy="310515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1714500</xdr:colOff>
      <xdr:row>7</xdr:row>
      <xdr:rowOff>98248</xdr:rowOff>
    </xdr:from>
    <xdr:to>
      <xdr:col>4</xdr:col>
      <xdr:colOff>5886450</xdr:colOff>
      <xdr:row>20</xdr:row>
      <xdr:rowOff>11369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A2A8A2A5-8C69-4DCC-9F0B-BD4E2125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67225" y="2669998"/>
          <a:ext cx="4171950" cy="31325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</xdr:row>
      <xdr:rowOff>9525</xdr:rowOff>
    </xdr:from>
    <xdr:to>
      <xdr:col>4</xdr:col>
      <xdr:colOff>1501877</xdr:colOff>
      <xdr:row>33</xdr:row>
      <xdr:rowOff>117925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22686EE5-8009-2C17-867C-02C5CFB3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" y="6048375"/>
          <a:ext cx="4102202" cy="308020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1733550</xdr:colOff>
      <xdr:row>21</xdr:row>
      <xdr:rowOff>3196</xdr:rowOff>
    </xdr:from>
    <xdr:to>
      <xdr:col>4</xdr:col>
      <xdr:colOff>5867399</xdr:colOff>
      <xdr:row>33</xdr:row>
      <xdr:rowOff>135358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3C53FC3B-CC71-E953-C20D-0A34C43D2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86275" y="6042046"/>
          <a:ext cx="4133849" cy="3103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142874</xdr:rowOff>
    </xdr:from>
    <xdr:to>
      <xdr:col>4</xdr:col>
      <xdr:colOff>2532704</xdr:colOff>
      <xdr:row>0</xdr:row>
      <xdr:rowOff>933449</xdr:rowOff>
    </xdr:to>
    <xdr:pic>
      <xdr:nvPicPr>
        <xdr:cNvPr id="2" name="Imagem 3" descr="LOGO GOVERNO 2021 -2024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49" y="142874"/>
          <a:ext cx="487585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142874</xdr:rowOff>
    </xdr:from>
    <xdr:to>
      <xdr:col>4</xdr:col>
      <xdr:colOff>2446979</xdr:colOff>
      <xdr:row>0</xdr:row>
      <xdr:rowOff>933449</xdr:rowOff>
    </xdr:to>
    <xdr:pic>
      <xdr:nvPicPr>
        <xdr:cNvPr id="2" name="Imagem 3" descr="LOGO GOVERNO 2021 -2024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49" y="142874"/>
          <a:ext cx="487585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1</xdr:col>
      <xdr:colOff>781050</xdr:colOff>
      <xdr:row>1</xdr:row>
      <xdr:rowOff>76200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297655</xdr:colOff>
      <xdr:row>1</xdr:row>
      <xdr:rowOff>107155</xdr:rowOff>
    </xdr:from>
    <xdr:to>
      <xdr:col>20</xdr:col>
      <xdr:colOff>559593</xdr:colOff>
      <xdr:row>6</xdr:row>
      <xdr:rowOff>215787</xdr:rowOff>
    </xdr:to>
    <xdr:pic>
      <xdr:nvPicPr>
        <xdr:cNvPr id="2" name="Imagem 3" descr="LOGO GOVERNO 2021 -2024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084593" y="273843"/>
          <a:ext cx="6250781" cy="101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114301</xdr:rowOff>
    </xdr:from>
    <xdr:to>
      <xdr:col>9</xdr:col>
      <xdr:colOff>114996</xdr:colOff>
      <xdr:row>3</xdr:row>
      <xdr:rowOff>200026</xdr:rowOff>
    </xdr:to>
    <xdr:pic>
      <xdr:nvPicPr>
        <xdr:cNvPr id="2" name="Imagem 3" descr="LOGO GOVERNO 2021 -2024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6" y="114301"/>
          <a:ext cx="528707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CR.%20DE%20OBRAS%202024/Cal&#231;amento%20das%20Estrdas%20Vicinais%20-%20ATERRADO/PARA%20LICITA&#199;&#195;O/PLANILHA%20%20V3.0.5%20-%20CAL&#199;AMENTO%20ATERR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6">
          <cell r="F6" t="str">
            <v>ALÉM PARAÍBA MG</v>
          </cell>
        </row>
        <row r="16">
          <cell r="F16" t="str">
            <v>PAVIMENTAÇÃO DE ESTRADAS VICINAIS</v>
          </cell>
        </row>
        <row r="17">
          <cell r="F17" t="str">
            <v>PAVIMENTAÇÃO</v>
          </cell>
        </row>
        <row r="18">
          <cell r="F18" t="str">
            <v>NÃO DESONERADO</v>
          </cell>
        </row>
        <row r="22">
          <cell r="F22" t="str">
            <v>Domingos Alexandre da Rocha Costa</v>
          </cell>
        </row>
        <row r="23">
          <cell r="F23" t="str">
            <v>174114/D</v>
          </cell>
        </row>
        <row r="24">
          <cell r="F24" t="str">
            <v>MG 2021507028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lumisul.com.br/ProdutoId_6956,29/Material-Eletrico/Disjuntores/DIspositivo-De-Protecao-Contra-Surtos-DPS/Dispositivo-De-Protecao-Contra-Surtos-DPS-II-40KA-350V-5SD7-461-0---Siemens.html" TargetMode="External"/><Relationship Id="rId2" Type="http://schemas.openxmlformats.org/officeDocument/2006/relationships/hyperlink" Target="https://www.lojaeletrica.com.br/abracadeira-galvanizada-tipo-d-com-cunha-fixac-o-eletrodutos-3-4.html" TargetMode="External"/><Relationship Id="rId1" Type="http://schemas.openxmlformats.org/officeDocument/2006/relationships/hyperlink" Target="https://express.nortel.com.br/grampo-terra-haste-cabo-bz-2cabos-16-70mm2-tel0580yt/p" TargetMode="External"/><Relationship Id="rId5" Type="http://schemas.openxmlformats.org/officeDocument/2006/relationships/hyperlink" Target="https://www.lojaagrometal.com.br/produto/terminal-pressao-4-parafusos-35-120mm-tc004-mci-tecnocabo-74829" TargetMode="External"/><Relationship Id="rId4" Type="http://schemas.openxmlformats.org/officeDocument/2006/relationships/hyperlink" Target="https://lojaeletropaulo.com.br/para-raios/5529-conector-de-medicao-e-emenda-16-a-70mm-560-termotecnica-1644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zoomScaleSheetLayoutView="100" zoomScalePageLayoutView="75" workbookViewId="0">
      <selection activeCell="D5" sqref="D5:E5"/>
    </sheetView>
  </sheetViews>
  <sheetFormatPr defaultColWidth="9.1796875" defaultRowHeight="12.5"/>
  <cols>
    <col min="1" max="1" width="2" style="65" customWidth="1"/>
    <col min="2" max="2" width="9.7265625" style="78" customWidth="1"/>
    <col min="3" max="3" width="16.81640625" style="78" customWidth="1"/>
    <col min="4" max="4" width="12.7265625" style="78" customWidth="1"/>
    <col min="5" max="5" width="90.1796875" style="87" customWidth="1"/>
    <col min="6" max="6" width="8.7265625" style="78" bestFit="1" customWidth="1"/>
    <col min="7" max="7" width="12.7265625" style="115" customWidth="1"/>
    <col min="8" max="16384" width="9.1796875" style="65"/>
  </cols>
  <sheetData>
    <row r="1" spans="1:7" ht="85.5" customHeight="1">
      <c r="A1" s="23"/>
      <c r="B1" s="41"/>
      <c r="C1" s="41"/>
      <c r="D1" s="41"/>
      <c r="E1" s="41"/>
      <c r="F1" s="41"/>
      <c r="G1" s="41"/>
    </row>
    <row r="2" spans="1:7" ht="20.149999999999999" customHeight="1">
      <c r="B2" s="122" t="s">
        <v>290</v>
      </c>
      <c r="C2" s="123"/>
      <c r="D2" s="116" t="s">
        <v>289</v>
      </c>
      <c r="E2" s="116"/>
      <c r="F2" s="58"/>
      <c r="G2" s="58"/>
    </row>
    <row r="3" spans="1:7" ht="20.149999999999999" customHeight="1">
      <c r="B3" s="545" t="s">
        <v>291</v>
      </c>
      <c r="C3" s="545"/>
      <c r="D3" s="116" t="s">
        <v>292</v>
      </c>
      <c r="E3" s="116"/>
      <c r="F3" s="58"/>
      <c r="G3" s="71"/>
    </row>
    <row r="4" spans="1:7" ht="20.149999999999999" customHeight="1">
      <c r="B4" s="545" t="s">
        <v>520</v>
      </c>
      <c r="C4" s="545"/>
      <c r="D4" s="546" t="s">
        <v>521</v>
      </c>
      <c r="E4" s="546"/>
      <c r="F4" s="58"/>
      <c r="G4" s="124"/>
    </row>
    <row r="5" spans="1:7" ht="20.149999999999999" customHeight="1">
      <c r="B5" s="547" t="s">
        <v>522</v>
      </c>
      <c r="C5" s="547"/>
      <c r="D5" s="546" t="s">
        <v>664</v>
      </c>
      <c r="E5" s="546"/>
      <c r="F5" s="58"/>
      <c r="G5" s="117"/>
    </row>
    <row r="6" spans="1:7" ht="20.149999999999999" customHeight="1">
      <c r="B6" s="544" t="s">
        <v>663</v>
      </c>
      <c r="C6" s="544"/>
      <c r="D6" s="544"/>
      <c r="E6" s="544"/>
      <c r="F6" s="542"/>
      <c r="G6" s="542"/>
    </row>
    <row r="7" spans="1:7" ht="20.149999999999999" customHeight="1">
      <c r="B7" s="535"/>
      <c r="C7" s="535"/>
      <c r="D7" s="535"/>
      <c r="E7" s="535"/>
      <c r="F7" s="535"/>
      <c r="G7" s="535"/>
    </row>
    <row r="8" spans="1:7" ht="20.149999999999999" customHeight="1">
      <c r="B8" s="535"/>
      <c r="C8" s="535"/>
      <c r="D8" s="535"/>
      <c r="E8" s="535"/>
      <c r="F8" s="535"/>
      <c r="G8" s="535"/>
    </row>
    <row r="9" spans="1:7" ht="20.149999999999999" customHeight="1">
      <c r="B9" s="535"/>
      <c r="C9" s="535"/>
      <c r="D9" s="535"/>
      <c r="E9" s="535"/>
      <c r="F9" s="535"/>
      <c r="G9" s="535"/>
    </row>
    <row r="10" spans="1:7" ht="20.149999999999999" customHeight="1">
      <c r="B10" s="535"/>
      <c r="C10" s="535"/>
      <c r="D10" s="535"/>
      <c r="E10" s="535"/>
      <c r="F10" s="535"/>
      <c r="G10" s="535"/>
    </row>
    <row r="11" spans="1:7" ht="20.149999999999999" customHeight="1">
      <c r="B11" s="535"/>
      <c r="C11" s="535"/>
      <c r="D11" s="535"/>
      <c r="E11" s="535"/>
      <c r="F11" s="535"/>
      <c r="G11" s="535"/>
    </row>
    <row r="12" spans="1:7" ht="20.149999999999999" customHeight="1">
      <c r="B12" s="535"/>
      <c r="C12" s="535"/>
      <c r="D12" s="535"/>
      <c r="E12" s="535"/>
      <c r="F12" s="535"/>
      <c r="G12" s="535"/>
    </row>
    <row r="13" spans="1:7" ht="20.149999999999999" customHeight="1">
      <c r="B13" s="535"/>
      <c r="C13" s="535"/>
      <c r="D13" s="535"/>
      <c r="E13" s="535"/>
      <c r="F13" s="535"/>
      <c r="G13" s="535"/>
    </row>
    <row r="14" spans="1:7" ht="20.149999999999999" customHeight="1">
      <c r="B14" s="535"/>
      <c r="C14" s="535"/>
      <c r="D14" s="535"/>
      <c r="E14" s="535"/>
      <c r="F14" s="535"/>
      <c r="G14" s="535"/>
    </row>
    <row r="15" spans="1:7" ht="20.149999999999999" customHeight="1">
      <c r="B15" s="535"/>
      <c r="C15" s="535"/>
      <c r="D15" s="535"/>
      <c r="E15" s="535"/>
      <c r="F15" s="535"/>
      <c r="G15" s="535"/>
    </row>
    <row r="16" spans="1:7" ht="20.149999999999999" customHeight="1">
      <c r="B16" s="535"/>
      <c r="C16" s="535"/>
      <c r="D16" s="535"/>
      <c r="E16" s="535"/>
      <c r="F16" s="535"/>
      <c r="G16" s="535"/>
    </row>
    <row r="17" spans="2:7" ht="20.149999999999999" customHeight="1">
      <c r="B17" s="535"/>
      <c r="C17" s="535"/>
      <c r="D17" s="535"/>
      <c r="E17" s="535"/>
      <c r="F17" s="535"/>
      <c r="G17" s="535"/>
    </row>
    <row r="18" spans="2:7" ht="20.149999999999999" customHeight="1">
      <c r="B18" s="535"/>
      <c r="C18" s="535"/>
      <c r="D18" s="535"/>
      <c r="E18" s="535"/>
      <c r="F18" s="535"/>
      <c r="G18" s="535"/>
    </row>
    <row r="19" spans="2:7" ht="20.149999999999999" customHeight="1">
      <c r="B19" s="535"/>
      <c r="C19" s="535"/>
      <c r="D19" s="535"/>
      <c r="E19" s="535"/>
      <c r="F19" s="535"/>
      <c r="G19" s="535"/>
    </row>
    <row r="20" spans="2:7" ht="20.149999999999999" customHeight="1">
      <c r="B20" s="535"/>
      <c r="C20" s="535"/>
      <c r="D20" s="535"/>
      <c r="E20" s="535"/>
      <c r="F20" s="535"/>
      <c r="G20" s="535"/>
    </row>
    <row r="21" spans="2:7" ht="20.149999999999999" customHeight="1">
      <c r="B21" s="535"/>
      <c r="C21" s="535"/>
      <c r="D21" s="535"/>
      <c r="E21" s="535"/>
      <c r="F21" s="535"/>
      <c r="G21" s="535"/>
    </row>
    <row r="22" spans="2:7" ht="20.149999999999999" customHeight="1">
      <c r="B22" s="535"/>
      <c r="C22" s="535"/>
      <c r="D22" s="535"/>
      <c r="E22" s="535"/>
      <c r="F22" s="535"/>
      <c r="G22" s="535"/>
    </row>
    <row r="23" spans="2:7" ht="20.149999999999999" customHeight="1">
      <c r="B23" s="535"/>
      <c r="C23" s="535"/>
      <c r="D23" s="535"/>
      <c r="E23" s="535"/>
      <c r="F23" s="535"/>
      <c r="G23" s="535"/>
    </row>
    <row r="24" spans="2:7" ht="20.149999999999999" customHeight="1">
      <c r="B24" s="535"/>
      <c r="C24" s="535"/>
      <c r="D24" s="535"/>
      <c r="E24" s="535"/>
      <c r="F24" s="535"/>
      <c r="G24" s="535"/>
    </row>
    <row r="25" spans="2:7" ht="20.149999999999999" customHeight="1">
      <c r="B25" s="535"/>
      <c r="C25" s="535"/>
      <c r="D25" s="535"/>
      <c r="E25" s="535"/>
      <c r="F25" s="535"/>
      <c r="G25" s="535"/>
    </row>
    <row r="26" spans="2:7" ht="20.149999999999999" customHeight="1">
      <c r="B26" s="535"/>
      <c r="C26" s="535"/>
      <c r="D26" s="535"/>
      <c r="E26" s="535"/>
      <c r="F26" s="535"/>
      <c r="G26" s="535"/>
    </row>
    <row r="27" spans="2:7" ht="20.149999999999999" customHeight="1">
      <c r="B27" s="535"/>
      <c r="C27" s="535"/>
      <c r="D27" s="535"/>
      <c r="E27" s="535"/>
      <c r="F27" s="535"/>
      <c r="G27" s="535"/>
    </row>
    <row r="28" spans="2:7" ht="20.149999999999999" customHeight="1">
      <c r="B28" s="535"/>
      <c r="C28" s="535"/>
      <c r="D28" s="535"/>
      <c r="E28" s="535"/>
      <c r="F28" s="535"/>
      <c r="G28" s="535"/>
    </row>
    <row r="29" spans="2:7" ht="20.149999999999999" customHeight="1">
      <c r="B29" s="535"/>
      <c r="C29" s="535"/>
      <c r="D29" s="535"/>
      <c r="E29" s="535"/>
      <c r="F29" s="535"/>
      <c r="G29" s="535"/>
    </row>
    <row r="30" spans="2:7" ht="20.149999999999999" customHeight="1">
      <c r="B30" s="535"/>
      <c r="C30" s="535"/>
      <c r="D30" s="535"/>
      <c r="E30" s="535"/>
      <c r="F30" s="535"/>
      <c r="G30" s="535"/>
    </row>
    <row r="31" spans="2:7" ht="20.149999999999999" customHeight="1">
      <c r="B31" s="535"/>
      <c r="C31" s="535"/>
      <c r="D31" s="535"/>
      <c r="E31" s="535"/>
      <c r="F31" s="535"/>
      <c r="G31" s="535"/>
    </row>
    <row r="32" spans="2:7" ht="20.149999999999999" customHeight="1">
      <c r="B32" s="535"/>
      <c r="C32" s="535"/>
      <c r="D32" s="535"/>
      <c r="E32" s="535"/>
      <c r="F32" s="535"/>
      <c r="G32" s="535"/>
    </row>
    <row r="33" spans="1:7" ht="20.149999999999999" customHeight="1">
      <c r="B33" s="535"/>
      <c r="C33" s="535"/>
      <c r="D33" s="535"/>
      <c r="E33" s="535"/>
      <c r="F33" s="535"/>
      <c r="G33" s="535"/>
    </row>
    <row r="34" spans="1:7" ht="20.149999999999999" customHeight="1">
      <c r="B34" s="535"/>
      <c r="C34" s="535"/>
      <c r="D34" s="535"/>
      <c r="E34" s="535"/>
      <c r="F34" s="535"/>
      <c r="G34" s="535"/>
    </row>
    <row r="35" spans="1:7" ht="20.149999999999999" customHeight="1">
      <c r="A35" s="9"/>
      <c r="B35" s="8"/>
      <c r="C35" s="8"/>
      <c r="D35" s="8"/>
      <c r="E35" s="7"/>
      <c r="F35" s="9"/>
      <c r="G35" s="18"/>
    </row>
    <row r="36" spans="1:7" ht="20.149999999999999" customHeight="1">
      <c r="E36" s="21"/>
      <c r="G36" s="107"/>
    </row>
    <row r="38" spans="1:7" ht="15.5">
      <c r="B38" s="543" t="s">
        <v>523</v>
      </c>
      <c r="C38" s="543"/>
      <c r="D38" s="543"/>
      <c r="E38" s="543"/>
    </row>
    <row r="42" spans="1:7">
      <c r="E42" s="87" t="s">
        <v>646</v>
      </c>
    </row>
    <row r="43" spans="1:7">
      <c r="E43" s="87" t="s">
        <v>647</v>
      </c>
    </row>
  </sheetData>
  <dataConsolidate/>
  <mergeCells count="7">
    <mergeCell ref="B38:E38"/>
    <mergeCell ref="B6:E6"/>
    <mergeCell ref="B3:C3"/>
    <mergeCell ref="B4:C4"/>
    <mergeCell ref="D4:E4"/>
    <mergeCell ref="B5:C5"/>
    <mergeCell ref="D5:E5"/>
  </mergeCells>
  <printOptions horizontalCentered="1"/>
  <pageMargins left="0.19685039370078741" right="0.19685039370078741" top="0.55118110236220474" bottom="0.62992125984251968" header="0.39370078740157483" footer="0.27559055118110237"/>
  <pageSetup paperSize="9" scale="78" fitToHeight="0" orientation="portrait" r:id="rId1"/>
  <headerFooter alignWithMargins="0">
    <oddFooter>&amp;C&amp;F&amp;R&amp;P/&amp;N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0"/>
  <sheetViews>
    <sheetView tabSelected="1" zoomScaleSheetLayoutView="100" zoomScalePageLayoutView="75" workbookViewId="0">
      <selection activeCell="D5" sqref="D5:E5"/>
    </sheetView>
  </sheetViews>
  <sheetFormatPr defaultColWidth="9.1796875" defaultRowHeight="12.5" outlineLevelRow="1"/>
  <cols>
    <col min="1" max="1" width="2" style="65" customWidth="1"/>
    <col min="2" max="2" width="9.7265625" style="78" customWidth="1"/>
    <col min="3" max="3" width="16.81640625" style="78" customWidth="1"/>
    <col min="4" max="4" width="11.453125" style="78" customWidth="1"/>
    <col min="5" max="5" width="90.1796875" style="87" customWidth="1"/>
    <col min="6" max="6" width="11" style="205" bestFit="1" customWidth="1"/>
    <col min="7" max="7" width="8.7265625" style="178" customWidth="1"/>
    <col min="8" max="8" width="8.7265625" style="179" customWidth="1"/>
    <col min="9" max="10" width="8.7265625" style="180" customWidth="1"/>
    <col min="11" max="11" width="29.26953125" style="125" bestFit="1" customWidth="1"/>
    <col min="12" max="16384" width="9.1796875" style="65"/>
  </cols>
  <sheetData>
    <row r="1" spans="1:11" ht="85.5" customHeight="1">
      <c r="A1" s="23"/>
      <c r="B1" s="41"/>
      <c r="C1" s="41"/>
      <c r="D1" s="41"/>
      <c r="E1" s="41"/>
      <c r="F1" s="165"/>
      <c r="G1" s="165"/>
      <c r="H1" s="165"/>
      <c r="I1" s="166"/>
      <c r="J1" s="166"/>
      <c r="K1" s="27"/>
    </row>
    <row r="2" spans="1:11" ht="20.149999999999999" customHeight="1">
      <c r="B2" s="122" t="s">
        <v>290</v>
      </c>
      <c r="C2" s="123"/>
      <c r="D2" s="116" t="s">
        <v>289</v>
      </c>
      <c r="E2" s="116"/>
      <c r="F2" s="167"/>
      <c r="G2" s="168"/>
      <c r="H2" s="168"/>
      <c r="I2" s="169"/>
      <c r="J2" s="169"/>
      <c r="K2" s="121"/>
    </row>
    <row r="3" spans="1:11" ht="20.149999999999999" customHeight="1">
      <c r="B3" s="545" t="s">
        <v>291</v>
      </c>
      <c r="C3" s="545"/>
      <c r="D3" s="116" t="s">
        <v>292</v>
      </c>
      <c r="E3" s="116"/>
      <c r="F3" s="167"/>
      <c r="G3" s="168"/>
      <c r="H3" s="170"/>
      <c r="I3" s="169"/>
      <c r="J3" s="169"/>
      <c r="K3" s="121"/>
    </row>
    <row r="4" spans="1:11" ht="20.149999999999999" customHeight="1">
      <c r="B4" s="545" t="s">
        <v>520</v>
      </c>
      <c r="C4" s="545"/>
      <c r="D4" s="546" t="s">
        <v>521</v>
      </c>
      <c r="E4" s="546"/>
      <c r="F4" s="171"/>
      <c r="G4" s="168"/>
      <c r="H4" s="172"/>
      <c r="I4" s="172"/>
      <c r="J4" s="172"/>
      <c r="K4" s="78"/>
    </row>
    <row r="5" spans="1:11" ht="20.149999999999999" customHeight="1">
      <c r="B5" s="547" t="s">
        <v>522</v>
      </c>
      <c r="C5" s="547"/>
      <c r="D5" s="546" t="s">
        <v>664</v>
      </c>
      <c r="E5" s="546"/>
      <c r="F5" s="171"/>
      <c r="G5" s="168"/>
      <c r="H5" s="172"/>
      <c r="I5" s="172"/>
      <c r="J5" s="172"/>
      <c r="K5" s="117"/>
    </row>
    <row r="6" spans="1:11" ht="20.149999999999999" customHeight="1">
      <c r="B6" s="544" t="s">
        <v>528</v>
      </c>
      <c r="C6" s="544"/>
      <c r="D6" s="544"/>
      <c r="E6" s="544"/>
      <c r="F6" s="544"/>
      <c r="G6" s="544"/>
      <c r="H6" s="544"/>
      <c r="I6" s="544"/>
      <c r="J6" s="544"/>
      <c r="K6" s="118"/>
    </row>
    <row r="7" spans="1:11" ht="20.149999999999999" customHeight="1" thickBot="1">
      <c r="A7" s="9"/>
      <c r="B7" s="8"/>
      <c r="C7" s="8"/>
      <c r="D7" s="8"/>
      <c r="E7" s="7"/>
      <c r="F7" s="173"/>
      <c r="G7" s="174"/>
      <c r="H7" s="175"/>
      <c r="I7" s="176"/>
      <c r="J7" s="176"/>
      <c r="K7" s="28"/>
    </row>
    <row r="8" spans="1:11" ht="29.25" customHeight="1" thickBot="1">
      <c r="A8" s="76"/>
      <c r="B8" s="24" t="s">
        <v>0</v>
      </c>
      <c r="C8" s="25" t="s">
        <v>60</v>
      </c>
      <c r="D8" s="25" t="s">
        <v>61</v>
      </c>
      <c r="E8" s="25" t="s">
        <v>32</v>
      </c>
      <c r="F8" s="551" t="s">
        <v>526</v>
      </c>
      <c r="G8" s="552"/>
      <c r="H8" s="552"/>
      <c r="I8" s="552"/>
      <c r="J8" s="553"/>
      <c r="K8" s="30" t="s">
        <v>527</v>
      </c>
    </row>
    <row r="9" spans="1:11" ht="20.149999999999999" customHeight="1">
      <c r="B9" s="65"/>
      <c r="C9" s="65"/>
      <c r="D9" s="65"/>
      <c r="E9" s="77"/>
      <c r="F9" s="177"/>
    </row>
    <row r="10" spans="1:11" ht="20.149999999999999" customHeight="1">
      <c r="A10" s="76"/>
      <c r="B10" s="156">
        <v>1</v>
      </c>
      <c r="C10" s="157"/>
      <c r="D10" s="157"/>
      <c r="E10" s="144" t="s">
        <v>217</v>
      </c>
      <c r="F10" s="181"/>
      <c r="G10" s="182"/>
      <c r="H10" s="183"/>
      <c r="I10" s="184"/>
      <c r="J10" s="184"/>
      <c r="K10" s="145"/>
    </row>
    <row r="11" spans="1:11" ht="31.5" customHeight="1" outlineLevel="1">
      <c r="A11" s="76"/>
      <c r="B11" s="271" t="s">
        <v>5</v>
      </c>
      <c r="C11" s="265">
        <v>103689</v>
      </c>
      <c r="D11" s="279" t="s">
        <v>41</v>
      </c>
      <c r="E11" s="146" t="s">
        <v>293</v>
      </c>
      <c r="F11" s="185"/>
      <c r="G11" s="186"/>
      <c r="H11" s="187" t="s">
        <v>524</v>
      </c>
      <c r="I11" s="187" t="s">
        <v>525</v>
      </c>
      <c r="J11" s="188" t="s">
        <v>316</v>
      </c>
      <c r="K11" s="147"/>
    </row>
    <row r="12" spans="1:11" outlineLevel="1">
      <c r="A12" s="76"/>
      <c r="B12" s="133"/>
      <c r="C12" s="129"/>
      <c r="D12" s="280"/>
      <c r="E12" s="140"/>
      <c r="F12" s="189"/>
      <c r="G12" s="190"/>
      <c r="H12" s="191">
        <v>3</v>
      </c>
      <c r="I12" s="191">
        <v>1.5</v>
      </c>
      <c r="J12" s="192">
        <f>ROUND(H12*I12,2)</f>
        <v>4.5</v>
      </c>
      <c r="K12" s="369" t="s">
        <v>571</v>
      </c>
    </row>
    <row r="13" spans="1:11" ht="13" outlineLevel="1">
      <c r="A13" s="76"/>
      <c r="B13" s="133"/>
      <c r="C13" s="129"/>
      <c r="D13" s="280"/>
      <c r="E13" s="140"/>
      <c r="F13" s="189"/>
      <c r="G13" s="190"/>
      <c r="H13" s="191"/>
      <c r="I13" s="193" t="s">
        <v>529</v>
      </c>
      <c r="J13" s="194">
        <f>SUM(J12)</f>
        <v>4.5</v>
      </c>
      <c r="K13" s="369"/>
    </row>
    <row r="14" spans="1:11" outlineLevel="1">
      <c r="A14" s="76"/>
      <c r="B14" s="135"/>
      <c r="C14" s="136"/>
      <c r="D14" s="281"/>
      <c r="E14" s="141"/>
      <c r="F14" s="195"/>
      <c r="G14" s="196"/>
      <c r="H14" s="197"/>
      <c r="I14" s="197"/>
      <c r="J14" s="198"/>
      <c r="K14" s="457"/>
    </row>
    <row r="15" spans="1:11" ht="13" outlineLevel="1">
      <c r="A15" s="76"/>
      <c r="B15" s="271" t="s">
        <v>6</v>
      </c>
      <c r="C15" s="164">
        <v>98459</v>
      </c>
      <c r="D15" s="276" t="s">
        <v>41</v>
      </c>
      <c r="E15" s="146" t="s">
        <v>295</v>
      </c>
      <c r="F15" s="185"/>
      <c r="G15" s="186"/>
      <c r="H15" s="187" t="s">
        <v>530</v>
      </c>
      <c r="I15" s="187" t="s">
        <v>531</v>
      </c>
      <c r="J15" s="188" t="s">
        <v>316</v>
      </c>
      <c r="K15" s="458"/>
    </row>
    <row r="16" spans="1:11" outlineLevel="1">
      <c r="A16" s="76"/>
      <c r="B16" s="133"/>
      <c r="C16" s="132"/>
      <c r="D16" s="277"/>
      <c r="E16" s="140"/>
      <c r="F16" s="189"/>
      <c r="G16" s="190"/>
      <c r="H16" s="191">
        <f>27+27+40</f>
        <v>94</v>
      </c>
      <c r="I16" s="191">
        <v>2</v>
      </c>
      <c r="J16" s="192">
        <f>ROUND(H16*I16,2)</f>
        <v>188</v>
      </c>
      <c r="K16" s="369" t="s">
        <v>572</v>
      </c>
    </row>
    <row r="17" spans="1:11" ht="13" outlineLevel="1">
      <c r="A17" s="76"/>
      <c r="B17" s="133"/>
      <c r="C17" s="132"/>
      <c r="D17" s="277"/>
      <c r="E17" s="140"/>
      <c r="F17" s="189"/>
      <c r="G17" s="190"/>
      <c r="H17" s="191"/>
      <c r="I17" s="193" t="s">
        <v>529</v>
      </c>
      <c r="J17" s="194">
        <f>SUM(J16)</f>
        <v>188</v>
      </c>
      <c r="K17" s="369"/>
    </row>
    <row r="18" spans="1:11" outlineLevel="1">
      <c r="A18" s="76"/>
      <c r="B18" s="135"/>
      <c r="C18" s="162"/>
      <c r="D18" s="278"/>
      <c r="E18" s="141"/>
      <c r="F18" s="195"/>
      <c r="G18" s="196"/>
      <c r="H18" s="197"/>
      <c r="I18" s="197"/>
      <c r="J18" s="198"/>
      <c r="K18" s="457"/>
    </row>
    <row r="19" spans="1:11" ht="37.5" outlineLevel="1">
      <c r="A19" s="76"/>
      <c r="B19" s="271" t="s">
        <v>37</v>
      </c>
      <c r="C19" s="282" t="s">
        <v>471</v>
      </c>
      <c r="D19" s="285" t="s">
        <v>469</v>
      </c>
      <c r="E19" s="146" t="s">
        <v>472</v>
      </c>
      <c r="F19" s="185"/>
      <c r="G19" s="186"/>
      <c r="H19" s="199"/>
      <c r="I19" s="199"/>
      <c r="J19" s="188" t="s">
        <v>317</v>
      </c>
      <c r="K19" s="458"/>
    </row>
    <row r="20" spans="1:11" outlineLevel="1">
      <c r="A20" s="76"/>
      <c r="B20" s="133"/>
      <c r="C20" s="283"/>
      <c r="D20" s="286"/>
      <c r="E20" s="140"/>
      <c r="F20" s="189"/>
      <c r="G20" s="190"/>
      <c r="H20" s="191"/>
      <c r="I20" s="191"/>
      <c r="J20" s="192">
        <v>1</v>
      </c>
      <c r="K20" s="369"/>
    </row>
    <row r="21" spans="1:11" ht="13" outlineLevel="1">
      <c r="A21" s="76"/>
      <c r="B21" s="133"/>
      <c r="C21" s="283"/>
      <c r="D21" s="286"/>
      <c r="E21" s="140"/>
      <c r="F21" s="189"/>
      <c r="G21" s="190"/>
      <c r="H21" s="191"/>
      <c r="I21" s="193" t="s">
        <v>529</v>
      </c>
      <c r="J21" s="194">
        <f>SUM(J20)</f>
        <v>1</v>
      </c>
      <c r="K21" s="369"/>
    </row>
    <row r="22" spans="1:11" outlineLevel="1">
      <c r="A22" s="76"/>
      <c r="B22" s="135"/>
      <c r="C22" s="284"/>
      <c r="D22" s="287"/>
      <c r="E22" s="141"/>
      <c r="F22" s="195"/>
      <c r="G22" s="196"/>
      <c r="H22" s="197"/>
      <c r="I22" s="197"/>
      <c r="J22" s="198"/>
      <c r="K22" s="457"/>
    </row>
    <row r="23" spans="1:11" ht="37.5" outlineLevel="1">
      <c r="B23" s="271" t="s">
        <v>40</v>
      </c>
      <c r="C23" s="282" t="s">
        <v>470</v>
      </c>
      <c r="D23" s="285" t="s">
        <v>469</v>
      </c>
      <c r="E23" s="146" t="s">
        <v>468</v>
      </c>
      <c r="F23" s="185"/>
      <c r="G23" s="186"/>
      <c r="H23" s="199"/>
      <c r="I23" s="199"/>
      <c r="J23" s="188" t="s">
        <v>317</v>
      </c>
      <c r="K23" s="458"/>
    </row>
    <row r="24" spans="1:11" outlineLevel="1">
      <c r="B24" s="133"/>
      <c r="C24" s="283"/>
      <c r="D24" s="286"/>
      <c r="E24" s="140"/>
      <c r="F24" s="189"/>
      <c r="G24" s="190"/>
      <c r="H24" s="191"/>
      <c r="I24" s="191"/>
      <c r="J24" s="192">
        <v>1</v>
      </c>
      <c r="K24" s="369"/>
    </row>
    <row r="25" spans="1:11" ht="13" outlineLevel="1">
      <c r="B25" s="133"/>
      <c r="C25" s="283"/>
      <c r="D25" s="286"/>
      <c r="E25" s="140"/>
      <c r="F25" s="189"/>
      <c r="G25" s="190"/>
      <c r="H25" s="191"/>
      <c r="I25" s="193" t="s">
        <v>529</v>
      </c>
      <c r="J25" s="194">
        <f>SUM(J24)</f>
        <v>1</v>
      </c>
      <c r="K25" s="369"/>
    </row>
    <row r="26" spans="1:11" outlineLevel="1">
      <c r="B26" s="135"/>
      <c r="C26" s="284"/>
      <c r="D26" s="287"/>
      <c r="E26" s="141"/>
      <c r="F26" s="195"/>
      <c r="G26" s="196"/>
      <c r="H26" s="197"/>
      <c r="I26" s="197"/>
      <c r="J26" s="198"/>
      <c r="K26" s="457"/>
    </row>
    <row r="27" spans="1:11" ht="25" outlineLevel="1">
      <c r="A27" s="76"/>
      <c r="B27" s="133" t="s">
        <v>64</v>
      </c>
      <c r="C27" s="129" t="s">
        <v>473</v>
      </c>
      <c r="D27" s="286" t="s">
        <v>469</v>
      </c>
      <c r="E27" s="140" t="s">
        <v>474</v>
      </c>
      <c r="F27" s="189"/>
      <c r="G27" s="190"/>
      <c r="H27" s="187" t="s">
        <v>524</v>
      </c>
      <c r="I27" s="187" t="s">
        <v>525</v>
      </c>
      <c r="J27" s="188" t="s">
        <v>316</v>
      </c>
      <c r="K27" s="369"/>
    </row>
    <row r="28" spans="1:11" outlineLevel="1">
      <c r="A28" s="76"/>
      <c r="B28" s="133"/>
      <c r="C28" s="129"/>
      <c r="D28" s="286"/>
      <c r="E28" s="140"/>
      <c r="F28" s="189"/>
      <c r="G28" s="190"/>
      <c r="H28" s="191">
        <v>4</v>
      </c>
      <c r="I28" s="191">
        <v>3</v>
      </c>
      <c r="J28" s="192">
        <f>ROUND(H28*I28,2)</f>
        <v>12</v>
      </c>
      <c r="K28" s="369"/>
    </row>
    <row r="29" spans="1:11" ht="13" outlineLevel="1">
      <c r="A29" s="76"/>
      <c r="B29" s="133"/>
      <c r="C29" s="129"/>
      <c r="D29" s="286"/>
      <c r="E29" s="140"/>
      <c r="F29" s="189"/>
      <c r="G29" s="190"/>
      <c r="H29" s="191"/>
      <c r="I29" s="193" t="s">
        <v>529</v>
      </c>
      <c r="J29" s="194">
        <f>SUM(J28)</f>
        <v>12</v>
      </c>
      <c r="K29" s="369"/>
    </row>
    <row r="30" spans="1:11" outlineLevel="1">
      <c r="A30" s="76"/>
      <c r="B30" s="133"/>
      <c r="C30" s="129"/>
      <c r="D30" s="286"/>
      <c r="E30" s="140"/>
      <c r="F30" s="189"/>
      <c r="G30" s="190"/>
      <c r="H30" s="191"/>
      <c r="I30" s="191"/>
      <c r="J30" s="192"/>
      <c r="K30" s="369"/>
    </row>
    <row r="31" spans="1:11" outlineLevel="1">
      <c r="A31" s="76"/>
      <c r="B31" s="135"/>
      <c r="C31" s="278"/>
      <c r="D31" s="287"/>
      <c r="E31" s="148"/>
      <c r="F31" s="200"/>
      <c r="G31" s="201"/>
      <c r="H31" s="202"/>
      <c r="I31" s="202"/>
      <c r="J31" s="203"/>
      <c r="K31" s="459"/>
    </row>
    <row r="32" spans="1:11" ht="27" customHeight="1" outlineLevel="1">
      <c r="B32" s="271" t="s">
        <v>65</v>
      </c>
      <c r="C32" s="276">
        <v>105009</v>
      </c>
      <c r="D32" s="279" t="s">
        <v>41</v>
      </c>
      <c r="E32" s="146" t="s">
        <v>296</v>
      </c>
      <c r="F32" s="204"/>
      <c r="G32" s="456"/>
      <c r="H32" s="199"/>
      <c r="I32" s="199"/>
      <c r="J32" s="188" t="s">
        <v>318</v>
      </c>
      <c r="K32" s="458"/>
    </row>
    <row r="33" spans="2:11" outlineLevel="1">
      <c r="B33" s="133"/>
      <c r="C33" s="277"/>
      <c r="D33" s="280"/>
      <c r="E33" s="140"/>
      <c r="F33" s="451"/>
      <c r="G33" s="190"/>
      <c r="H33" s="191"/>
      <c r="I33" s="191"/>
      <c r="J33" s="192">
        <v>36</v>
      </c>
      <c r="K33" s="369"/>
    </row>
    <row r="34" spans="2:11" ht="13" outlineLevel="1">
      <c r="B34" s="133"/>
      <c r="C34" s="277"/>
      <c r="D34" s="280"/>
      <c r="E34" s="140"/>
      <c r="F34" s="451"/>
      <c r="G34" s="190"/>
      <c r="H34" s="191"/>
      <c r="I34" s="193" t="s">
        <v>529</v>
      </c>
      <c r="J34" s="194">
        <f>SUM(J33)</f>
        <v>36</v>
      </c>
      <c r="K34" s="369"/>
    </row>
    <row r="35" spans="2:11" outlineLevel="1">
      <c r="B35" s="135"/>
      <c r="C35" s="278"/>
      <c r="D35" s="281"/>
      <c r="E35" s="141"/>
      <c r="F35" s="452"/>
      <c r="G35" s="196"/>
      <c r="H35" s="197"/>
      <c r="I35" s="197"/>
      <c r="J35" s="198"/>
      <c r="K35" s="457"/>
    </row>
    <row r="36" spans="2:11" ht="27" customHeight="1" outlineLevel="1">
      <c r="B36" s="271" t="s">
        <v>466</v>
      </c>
      <c r="C36" s="276">
        <v>97622</v>
      </c>
      <c r="D36" s="150" t="s">
        <v>41</v>
      </c>
      <c r="E36" s="146" t="s">
        <v>321</v>
      </c>
      <c r="F36" s="453"/>
      <c r="G36" s="187" t="s">
        <v>530</v>
      </c>
      <c r="H36" s="187" t="s">
        <v>531</v>
      </c>
      <c r="I36" s="187" t="s">
        <v>532</v>
      </c>
      <c r="J36" s="188" t="s">
        <v>319</v>
      </c>
      <c r="K36" s="458"/>
    </row>
    <row r="37" spans="2:11" outlineLevel="1">
      <c r="B37" s="133"/>
      <c r="C37" s="274"/>
      <c r="D37" s="130"/>
      <c r="E37" s="140"/>
      <c r="F37" s="451"/>
      <c r="G37" s="190">
        <v>97.1</v>
      </c>
      <c r="H37" s="191">
        <v>1</v>
      </c>
      <c r="I37" s="191">
        <v>0.13</v>
      </c>
      <c r="J37" s="192">
        <f>ROUND(G37*H37*I37,2)</f>
        <v>12.62</v>
      </c>
      <c r="K37" s="369" t="s">
        <v>573</v>
      </c>
    </row>
    <row r="38" spans="2:11" ht="13" outlineLevel="1">
      <c r="B38" s="133"/>
      <c r="C38" s="277"/>
      <c r="D38" s="130"/>
      <c r="E38" s="140"/>
      <c r="F38" s="451"/>
      <c r="G38" s="190"/>
      <c r="H38" s="191"/>
      <c r="I38" s="193" t="s">
        <v>529</v>
      </c>
      <c r="J38" s="194">
        <f>SUM(J37)</f>
        <v>12.62</v>
      </c>
      <c r="K38" s="369"/>
    </row>
    <row r="39" spans="2:11" outlineLevel="1">
      <c r="B39" s="135"/>
      <c r="C39" s="278"/>
      <c r="D39" s="137"/>
      <c r="E39" s="141"/>
      <c r="F39" s="452"/>
      <c r="G39" s="196"/>
      <c r="H39" s="197"/>
      <c r="I39" s="197"/>
      <c r="J39" s="198"/>
      <c r="K39" s="457"/>
    </row>
    <row r="40" spans="2:11" ht="25" outlineLevel="1">
      <c r="B40" s="271" t="s">
        <v>467</v>
      </c>
      <c r="C40" s="273">
        <v>93590</v>
      </c>
      <c r="D40" s="150" t="s">
        <v>41</v>
      </c>
      <c r="E40" s="146" t="s">
        <v>322</v>
      </c>
      <c r="F40" s="204"/>
      <c r="G40" s="456"/>
      <c r="H40" s="187" t="s">
        <v>319</v>
      </c>
      <c r="I40" s="187" t="s">
        <v>533</v>
      </c>
      <c r="J40" s="188" t="s">
        <v>323</v>
      </c>
      <c r="K40" s="458"/>
    </row>
    <row r="41" spans="2:11" outlineLevel="1">
      <c r="B41" s="272"/>
      <c r="C41" s="274"/>
      <c r="D41" s="275"/>
      <c r="E41" s="148"/>
      <c r="F41" s="454"/>
      <c r="G41" s="201"/>
      <c r="H41" s="191">
        <f>ROUND(1.7*J38,2)</f>
        <v>21.45</v>
      </c>
      <c r="I41" s="191">
        <v>30</v>
      </c>
      <c r="J41" s="192">
        <f>ROUND(H41*I41,2)</f>
        <v>643.5</v>
      </c>
      <c r="K41" s="459" t="s">
        <v>574</v>
      </c>
    </row>
    <row r="42" spans="2:11" ht="13" outlineLevel="1">
      <c r="B42" s="133"/>
      <c r="C42" s="274"/>
      <c r="D42" s="275"/>
      <c r="E42" s="148"/>
      <c r="F42" s="454"/>
      <c r="G42" s="201"/>
      <c r="H42" s="191"/>
      <c r="I42" s="193" t="s">
        <v>529</v>
      </c>
      <c r="J42" s="194">
        <f>SUM(J41)</f>
        <v>643.5</v>
      </c>
      <c r="K42" s="459"/>
    </row>
    <row r="43" spans="2:11" outlineLevel="1">
      <c r="B43" s="135"/>
      <c r="C43" s="278"/>
      <c r="D43" s="137"/>
      <c r="E43" s="141"/>
      <c r="F43" s="452"/>
      <c r="G43" s="196"/>
      <c r="H43" s="197"/>
      <c r="I43" s="197"/>
      <c r="J43" s="198"/>
      <c r="K43" s="457"/>
    </row>
    <row r="44" spans="2:11" ht="25" outlineLevel="1">
      <c r="B44" s="152" t="s">
        <v>509</v>
      </c>
      <c r="C44" s="142" t="s">
        <v>510</v>
      </c>
      <c r="D44" s="153" t="s">
        <v>469</v>
      </c>
      <c r="E44" s="154" t="s">
        <v>511</v>
      </c>
      <c r="G44" s="320"/>
      <c r="H44" s="206" t="s">
        <v>316</v>
      </c>
      <c r="I44" s="206" t="s">
        <v>534</v>
      </c>
      <c r="J44" s="207" t="s">
        <v>512</v>
      </c>
      <c r="K44" s="460"/>
    </row>
    <row r="45" spans="2:11" outlineLevel="1">
      <c r="B45" s="133"/>
      <c r="C45" s="129"/>
      <c r="D45" s="130"/>
      <c r="E45" s="131"/>
      <c r="F45" s="455"/>
      <c r="G45" s="190"/>
      <c r="H45" s="191">
        <v>20</v>
      </c>
      <c r="I45" s="191">
        <v>6</v>
      </c>
      <c r="J45" s="192">
        <f>ROUND(H45*I45,2)</f>
        <v>120</v>
      </c>
      <c r="K45" s="369"/>
    </row>
    <row r="46" spans="2:11" ht="13" outlineLevel="1">
      <c r="B46" s="133"/>
      <c r="C46" s="129"/>
      <c r="D46" s="130"/>
      <c r="E46" s="131"/>
      <c r="F46" s="455"/>
      <c r="G46" s="190"/>
      <c r="H46" s="191"/>
      <c r="I46" s="193" t="s">
        <v>529</v>
      </c>
      <c r="J46" s="194">
        <f>SUM(J45)</f>
        <v>120</v>
      </c>
      <c r="K46" s="369"/>
    </row>
    <row r="47" spans="2:11" outlineLevel="1">
      <c r="B47" s="135"/>
      <c r="C47" s="136"/>
      <c r="D47" s="137"/>
      <c r="E47" s="138"/>
      <c r="F47" s="209"/>
      <c r="G47" s="196"/>
      <c r="H47" s="197"/>
      <c r="I47" s="197"/>
      <c r="J47" s="198"/>
      <c r="K47" s="457"/>
    </row>
    <row r="48" spans="2:11" ht="20.149999999999999" customHeight="1">
      <c r="B48" s="87"/>
      <c r="C48" s="87"/>
      <c r="D48" s="87"/>
      <c r="H48" s="126"/>
      <c r="I48" s="210"/>
      <c r="J48" s="210"/>
      <c r="K48" s="461"/>
    </row>
    <row r="49" spans="2:11" ht="20.149999999999999" customHeight="1">
      <c r="B49" s="156">
        <v>2</v>
      </c>
      <c r="C49" s="157"/>
      <c r="D49" s="157"/>
      <c r="E49" s="158" t="s">
        <v>227</v>
      </c>
      <c r="F49" s="211"/>
      <c r="G49" s="182"/>
      <c r="H49" s="183"/>
      <c r="I49" s="184"/>
      <c r="J49" s="184"/>
      <c r="K49" s="462"/>
    </row>
    <row r="50" spans="2:11" ht="25" outlineLevel="1">
      <c r="B50" s="159" t="s">
        <v>7</v>
      </c>
      <c r="C50" s="155">
        <v>96523</v>
      </c>
      <c r="D50" s="155" t="s">
        <v>41</v>
      </c>
      <c r="E50" s="154" t="s">
        <v>315</v>
      </c>
      <c r="F50" s="212" t="s">
        <v>33</v>
      </c>
      <c r="G50" s="213" t="s">
        <v>318</v>
      </c>
      <c r="H50" s="206" t="s">
        <v>318</v>
      </c>
      <c r="I50" s="206" t="s">
        <v>531</v>
      </c>
      <c r="J50" s="213" t="s">
        <v>319</v>
      </c>
      <c r="K50" s="460"/>
    </row>
    <row r="51" spans="2:11" outlineLevel="1">
      <c r="B51" s="160"/>
      <c r="C51" s="132"/>
      <c r="D51" s="132"/>
      <c r="E51" s="131"/>
      <c r="F51" s="466">
        <v>16</v>
      </c>
      <c r="G51" s="214">
        <v>1.5</v>
      </c>
      <c r="H51" s="191">
        <v>1.5</v>
      </c>
      <c r="I51" s="191">
        <v>2</v>
      </c>
      <c r="J51" s="214">
        <f>ROUND(I51*H51*G51*F51,2)</f>
        <v>72</v>
      </c>
      <c r="K51" s="369" t="s">
        <v>575</v>
      </c>
    </row>
    <row r="52" spans="2:11" outlineLevel="1">
      <c r="B52" s="160"/>
      <c r="C52" s="132"/>
      <c r="D52" s="132"/>
      <c r="E52" s="131"/>
      <c r="F52" s="466">
        <v>22</v>
      </c>
      <c r="G52" s="214">
        <v>0.8</v>
      </c>
      <c r="H52" s="191">
        <v>0.8</v>
      </c>
      <c r="I52" s="191">
        <v>1.5</v>
      </c>
      <c r="J52" s="214">
        <f t="shared" ref="J52:J54" si="0">ROUND(I52*H52*G52*F52,2)</f>
        <v>21.12</v>
      </c>
      <c r="K52" s="369" t="s">
        <v>576</v>
      </c>
    </row>
    <row r="53" spans="2:11" outlineLevel="1">
      <c r="B53" s="160"/>
      <c r="C53" s="132"/>
      <c r="D53" s="132"/>
      <c r="E53" s="131"/>
      <c r="F53" s="466">
        <v>7</v>
      </c>
      <c r="G53" s="214">
        <v>1.2</v>
      </c>
      <c r="H53" s="191">
        <v>1.2</v>
      </c>
      <c r="I53" s="191">
        <v>1.5</v>
      </c>
      <c r="J53" s="214">
        <f t="shared" si="0"/>
        <v>15.12</v>
      </c>
      <c r="K53" s="369" t="s">
        <v>577</v>
      </c>
    </row>
    <row r="54" spans="2:11" outlineLevel="1">
      <c r="B54" s="160"/>
      <c r="C54" s="132"/>
      <c r="D54" s="132"/>
      <c r="E54" s="131"/>
      <c r="F54" s="466">
        <v>14</v>
      </c>
      <c r="G54" s="214">
        <v>0.6</v>
      </c>
      <c r="H54" s="191">
        <v>0.6</v>
      </c>
      <c r="I54" s="191">
        <v>1</v>
      </c>
      <c r="J54" s="214">
        <f t="shared" si="0"/>
        <v>5.04</v>
      </c>
      <c r="K54" s="369" t="s">
        <v>578</v>
      </c>
    </row>
    <row r="55" spans="2:11" ht="13" outlineLevel="1">
      <c r="B55" s="160"/>
      <c r="C55" s="132"/>
      <c r="D55" s="132"/>
      <c r="E55" s="131"/>
      <c r="F55" s="208"/>
      <c r="G55" s="214"/>
      <c r="H55" s="191"/>
      <c r="I55" s="193" t="s">
        <v>529</v>
      </c>
      <c r="J55" s="194">
        <f>SUM(J51:J54)</f>
        <v>113.28000000000002</v>
      </c>
      <c r="K55" s="369"/>
    </row>
    <row r="56" spans="2:11" outlineLevel="1">
      <c r="B56" s="161"/>
      <c r="C56" s="162"/>
      <c r="D56" s="162"/>
      <c r="E56" s="138"/>
      <c r="F56" s="209"/>
      <c r="G56" s="215"/>
      <c r="H56" s="197"/>
      <c r="I56" s="197"/>
      <c r="J56" s="215"/>
      <c r="K56" s="457"/>
    </row>
    <row r="57" spans="2:11" ht="25" outlineLevel="1">
      <c r="B57" s="163" t="s">
        <v>8</v>
      </c>
      <c r="C57" s="164">
        <v>101617</v>
      </c>
      <c r="D57" s="164" t="s">
        <v>41</v>
      </c>
      <c r="E57" s="151" t="s">
        <v>320</v>
      </c>
      <c r="F57" s="216"/>
      <c r="G57" s="224" t="s">
        <v>33</v>
      </c>
      <c r="H57" s="187" t="s">
        <v>318</v>
      </c>
      <c r="I57" s="187" t="s">
        <v>318</v>
      </c>
      <c r="J57" s="223" t="s">
        <v>316</v>
      </c>
      <c r="K57" s="458"/>
    </row>
    <row r="58" spans="2:11" outlineLevel="1">
      <c r="B58" s="159"/>
      <c r="C58" s="155"/>
      <c r="D58" s="155"/>
      <c r="E58" s="154"/>
      <c r="F58" s="297"/>
      <c r="G58" s="466">
        <v>16</v>
      </c>
      <c r="H58" s="214">
        <v>1.5</v>
      </c>
      <c r="I58" s="191">
        <v>1.5</v>
      </c>
      <c r="J58" s="214">
        <f t="shared" ref="J58:J61" si="1">ROUND(I58*H58*G58,2)</f>
        <v>36</v>
      </c>
      <c r="K58" s="369" t="s">
        <v>575</v>
      </c>
    </row>
    <row r="59" spans="2:11" outlineLevel="1">
      <c r="B59" s="159"/>
      <c r="C59" s="155"/>
      <c r="D59" s="155"/>
      <c r="E59" s="154"/>
      <c r="F59" s="297"/>
      <c r="G59" s="466">
        <v>22</v>
      </c>
      <c r="H59" s="214">
        <v>0.8</v>
      </c>
      <c r="I59" s="191">
        <v>0.8</v>
      </c>
      <c r="J59" s="214">
        <f t="shared" si="1"/>
        <v>14.08</v>
      </c>
      <c r="K59" s="369" t="s">
        <v>576</v>
      </c>
    </row>
    <row r="60" spans="2:11" outlineLevel="1">
      <c r="B60" s="160"/>
      <c r="C60" s="132"/>
      <c r="D60" s="132"/>
      <c r="E60" s="131"/>
      <c r="F60" s="208"/>
      <c r="G60" s="466">
        <v>7</v>
      </c>
      <c r="H60" s="214">
        <v>1.2</v>
      </c>
      <c r="I60" s="191">
        <v>1.2</v>
      </c>
      <c r="J60" s="214">
        <f t="shared" si="1"/>
        <v>10.08</v>
      </c>
      <c r="K60" s="369" t="s">
        <v>577</v>
      </c>
    </row>
    <row r="61" spans="2:11" outlineLevel="1">
      <c r="B61" s="160"/>
      <c r="C61" s="132"/>
      <c r="D61" s="132"/>
      <c r="E61" s="131"/>
      <c r="F61" s="208"/>
      <c r="G61" s="466">
        <v>14</v>
      </c>
      <c r="H61" s="214">
        <v>0.6</v>
      </c>
      <c r="I61" s="191">
        <v>0.6</v>
      </c>
      <c r="J61" s="214">
        <f t="shared" si="1"/>
        <v>5.04</v>
      </c>
      <c r="K61" s="369" t="s">
        <v>578</v>
      </c>
    </row>
    <row r="62" spans="2:11" ht="13" outlineLevel="1">
      <c r="B62" s="160"/>
      <c r="C62" s="132"/>
      <c r="D62" s="132"/>
      <c r="E62" s="131"/>
      <c r="F62" s="208"/>
      <c r="G62" s="214"/>
      <c r="H62" s="191"/>
      <c r="I62" s="193" t="s">
        <v>529</v>
      </c>
      <c r="J62" s="194">
        <f>SUM(J60:J61)</f>
        <v>15.120000000000001</v>
      </c>
      <c r="K62" s="369"/>
    </row>
    <row r="63" spans="2:11" outlineLevel="1">
      <c r="B63" s="161"/>
      <c r="C63" s="162"/>
      <c r="D63" s="162"/>
      <c r="E63" s="138"/>
      <c r="F63" s="209"/>
      <c r="G63" s="215"/>
      <c r="H63" s="197"/>
      <c r="I63" s="197"/>
      <c r="J63" s="215"/>
      <c r="K63" s="457"/>
    </row>
    <row r="64" spans="2:11" ht="20.149999999999999" customHeight="1" outlineLevel="1">
      <c r="B64" s="163" t="s">
        <v>9</v>
      </c>
      <c r="C64" s="164">
        <v>93382</v>
      </c>
      <c r="D64" s="164" t="s">
        <v>41</v>
      </c>
      <c r="E64" s="151" t="s">
        <v>314</v>
      </c>
      <c r="F64" s="212" t="s">
        <v>33</v>
      </c>
      <c r="G64" s="213" t="s">
        <v>318</v>
      </c>
      <c r="H64" s="206" t="s">
        <v>318</v>
      </c>
      <c r="I64" s="206" t="s">
        <v>531</v>
      </c>
      <c r="J64" s="213" t="s">
        <v>319</v>
      </c>
      <c r="K64" s="458"/>
    </row>
    <row r="65" spans="2:11" outlineLevel="1">
      <c r="B65" s="160"/>
      <c r="C65" s="132"/>
      <c r="D65" s="132"/>
      <c r="E65" s="131"/>
      <c r="F65" s="466">
        <v>16</v>
      </c>
      <c r="G65" s="214">
        <v>1.5</v>
      </c>
      <c r="H65" s="191">
        <v>1.5</v>
      </c>
      <c r="I65" s="191">
        <v>1.6</v>
      </c>
      <c r="J65" s="214">
        <f>ROUND(I65*H65*G65*F65,2)</f>
        <v>57.6</v>
      </c>
      <c r="K65" s="369" t="s">
        <v>575</v>
      </c>
    </row>
    <row r="66" spans="2:11" outlineLevel="1">
      <c r="B66" s="160"/>
      <c r="C66" s="132"/>
      <c r="D66" s="132"/>
      <c r="E66" s="131"/>
      <c r="F66" s="466">
        <v>22</v>
      </c>
      <c r="G66" s="214">
        <v>0.8</v>
      </c>
      <c r="H66" s="191">
        <v>0.8</v>
      </c>
      <c r="I66" s="191">
        <v>0.4</v>
      </c>
      <c r="J66" s="214">
        <f t="shared" ref="J66:J67" si="2">ROUND(I66*H66*G66*F66,2)</f>
        <v>5.63</v>
      </c>
      <c r="K66" s="369" t="s">
        <v>576</v>
      </c>
    </row>
    <row r="67" spans="2:11" outlineLevel="1">
      <c r="B67" s="160"/>
      <c r="C67" s="132"/>
      <c r="D67" s="132"/>
      <c r="E67" s="131"/>
      <c r="F67" s="466">
        <v>7</v>
      </c>
      <c r="G67" s="214">
        <v>1.2</v>
      </c>
      <c r="H67" s="191">
        <v>1.2</v>
      </c>
      <c r="I67" s="191">
        <v>0.8</v>
      </c>
      <c r="J67" s="214">
        <f t="shared" si="2"/>
        <v>8.06</v>
      </c>
      <c r="K67" s="369" t="s">
        <v>577</v>
      </c>
    </row>
    <row r="68" spans="2:11" outlineLevel="1">
      <c r="B68" s="160"/>
      <c r="C68" s="132"/>
      <c r="D68" s="132"/>
      <c r="E68" s="131"/>
      <c r="F68" s="466">
        <v>14</v>
      </c>
      <c r="G68" s="214">
        <v>0.6</v>
      </c>
      <c r="H68" s="191">
        <v>0.6</v>
      </c>
      <c r="I68" s="191">
        <v>0.7</v>
      </c>
      <c r="J68" s="214">
        <f t="shared" ref="J68" si="3">ROUND(I68*H68*G68*F68,2)</f>
        <v>3.53</v>
      </c>
      <c r="K68" s="369" t="s">
        <v>578</v>
      </c>
    </row>
    <row r="69" spans="2:11" ht="13" outlineLevel="1">
      <c r="B69" s="160"/>
      <c r="C69" s="132"/>
      <c r="D69" s="132"/>
      <c r="E69" s="131"/>
      <c r="F69" s="208"/>
      <c r="G69" s="214"/>
      <c r="H69" s="191"/>
      <c r="I69" s="193" t="s">
        <v>529</v>
      </c>
      <c r="J69" s="194">
        <f>SUM(J65:J68)</f>
        <v>74.820000000000007</v>
      </c>
      <c r="K69" s="369"/>
    </row>
    <row r="70" spans="2:11" outlineLevel="1">
      <c r="B70" s="161"/>
      <c r="C70" s="162"/>
      <c r="D70" s="162"/>
      <c r="E70" s="138"/>
      <c r="F70" s="209"/>
      <c r="G70" s="215"/>
      <c r="H70" s="197"/>
      <c r="I70" s="197"/>
      <c r="J70" s="215"/>
      <c r="K70" s="457"/>
    </row>
    <row r="71" spans="2:11" ht="20.149999999999999" customHeight="1" outlineLevel="1">
      <c r="B71" s="163" t="s">
        <v>38</v>
      </c>
      <c r="C71" s="164">
        <v>97082</v>
      </c>
      <c r="D71" s="164" t="s">
        <v>41</v>
      </c>
      <c r="E71" s="151" t="s">
        <v>313</v>
      </c>
      <c r="F71" s="216"/>
      <c r="G71" s="224" t="s">
        <v>530</v>
      </c>
      <c r="H71" s="187" t="s">
        <v>525</v>
      </c>
      <c r="I71" s="187" t="s">
        <v>531</v>
      </c>
      <c r="J71" s="223" t="s">
        <v>319</v>
      </c>
      <c r="K71" s="458"/>
    </row>
    <row r="72" spans="2:11" outlineLevel="1">
      <c r="B72" s="160"/>
      <c r="C72" s="132"/>
      <c r="D72" s="132"/>
      <c r="E72" s="131"/>
      <c r="F72" s="208"/>
      <c r="G72" s="214">
        <v>70</v>
      </c>
      <c r="H72" s="191">
        <v>0.5</v>
      </c>
      <c r="I72" s="191">
        <v>0.6</v>
      </c>
      <c r="J72" s="214">
        <f>ROUND(I72*H72*G72,2)</f>
        <v>21</v>
      </c>
      <c r="K72" s="369" t="s">
        <v>579</v>
      </c>
    </row>
    <row r="73" spans="2:11" outlineLevel="1">
      <c r="B73" s="160"/>
      <c r="C73" s="132"/>
      <c r="D73" s="132"/>
      <c r="E73" s="131"/>
      <c r="F73" s="208"/>
      <c r="G73" s="214">
        <f>19.73+29.69+22.29</f>
        <v>71.710000000000008</v>
      </c>
      <c r="H73" s="191">
        <v>0.15</v>
      </c>
      <c r="I73" s="191">
        <v>0.3</v>
      </c>
      <c r="J73" s="214">
        <f t="shared" ref="J73:J74" si="4">ROUND(I73*H73*G73,2)</f>
        <v>3.23</v>
      </c>
      <c r="K73" s="369" t="s">
        <v>580</v>
      </c>
    </row>
    <row r="74" spans="2:11" outlineLevel="1">
      <c r="B74" s="160"/>
      <c r="C74" s="132"/>
      <c r="D74" s="132"/>
      <c r="E74" s="131"/>
      <c r="F74" s="208"/>
      <c r="G74" s="214">
        <v>45.4</v>
      </c>
      <c r="H74" s="191">
        <v>0.15</v>
      </c>
      <c r="I74" s="191">
        <v>0.3</v>
      </c>
      <c r="J74" s="214">
        <f t="shared" si="4"/>
        <v>2.04</v>
      </c>
      <c r="K74" s="369" t="s">
        <v>581</v>
      </c>
    </row>
    <row r="75" spans="2:11" ht="13" outlineLevel="1">
      <c r="B75" s="160"/>
      <c r="C75" s="132"/>
      <c r="D75" s="132"/>
      <c r="E75" s="131"/>
      <c r="F75" s="208"/>
      <c r="G75" s="214"/>
      <c r="H75" s="191"/>
      <c r="I75" s="193" t="s">
        <v>529</v>
      </c>
      <c r="J75" s="194">
        <f>SUM(J72:J74)</f>
        <v>26.27</v>
      </c>
      <c r="K75" s="369"/>
    </row>
    <row r="76" spans="2:11" outlineLevel="1">
      <c r="B76" s="161"/>
      <c r="C76" s="162"/>
      <c r="D76" s="162"/>
      <c r="E76" s="138"/>
      <c r="F76" s="209"/>
      <c r="G76" s="215"/>
      <c r="H76" s="197"/>
      <c r="I76" s="197"/>
      <c r="J76" s="215"/>
      <c r="K76" s="457"/>
    </row>
    <row r="77" spans="2:11" ht="20.149999999999999" customHeight="1" outlineLevel="1">
      <c r="B77" s="163" t="s">
        <v>111</v>
      </c>
      <c r="C77" s="164">
        <v>94319</v>
      </c>
      <c r="D77" s="164" t="s">
        <v>41</v>
      </c>
      <c r="E77" s="151" t="s">
        <v>312</v>
      </c>
      <c r="F77" s="216"/>
      <c r="G77" s="224"/>
      <c r="H77" s="187" t="s">
        <v>316</v>
      </c>
      <c r="I77" s="187" t="s">
        <v>531</v>
      </c>
      <c r="J77" s="223" t="s">
        <v>319</v>
      </c>
      <c r="K77" s="463"/>
    </row>
    <row r="78" spans="2:11" outlineLevel="1">
      <c r="B78" s="160"/>
      <c r="C78" s="132"/>
      <c r="D78" s="132"/>
      <c r="E78" s="131"/>
      <c r="F78" s="208"/>
      <c r="G78" s="214"/>
      <c r="H78" s="191">
        <v>12.6</v>
      </c>
      <c r="I78" s="191">
        <v>0.5</v>
      </c>
      <c r="J78" s="214">
        <f>ROUND(I78*H78,2)</f>
        <v>6.3</v>
      </c>
      <c r="K78" s="464" t="s">
        <v>582</v>
      </c>
    </row>
    <row r="79" spans="2:11" ht="13" outlineLevel="1">
      <c r="B79" s="160"/>
      <c r="C79" s="132"/>
      <c r="D79" s="132"/>
      <c r="E79" s="131"/>
      <c r="F79" s="208"/>
      <c r="G79" s="214"/>
      <c r="H79" s="191"/>
      <c r="I79" s="193" t="s">
        <v>529</v>
      </c>
      <c r="J79" s="194">
        <f>SUM(J78:J78)</f>
        <v>6.3</v>
      </c>
      <c r="K79" s="369"/>
    </row>
    <row r="80" spans="2:11" outlineLevel="1">
      <c r="B80" s="161"/>
      <c r="C80" s="162"/>
      <c r="D80" s="162"/>
      <c r="E80" s="138"/>
      <c r="F80" s="209"/>
      <c r="G80" s="215"/>
      <c r="H80" s="197"/>
      <c r="I80" s="197"/>
      <c r="J80" s="215"/>
      <c r="K80" s="465"/>
    </row>
    <row r="81" spans="2:11" ht="20.149999999999999" customHeight="1">
      <c r="B81" s="87"/>
      <c r="C81" s="87"/>
      <c r="D81" s="87"/>
      <c r="H81" s="126"/>
      <c r="I81" s="210"/>
      <c r="J81" s="210"/>
      <c r="K81" s="127"/>
    </row>
    <row r="82" spans="2:11" ht="20.149999999999999" customHeight="1">
      <c r="B82" s="156">
        <v>3</v>
      </c>
      <c r="C82" s="157"/>
      <c r="D82" s="157"/>
      <c r="E82" s="158" t="s">
        <v>216</v>
      </c>
      <c r="F82" s="211"/>
      <c r="G82" s="182"/>
      <c r="H82" s="183"/>
      <c r="I82" s="184"/>
      <c r="J82" s="184"/>
      <c r="K82" s="145"/>
    </row>
    <row r="83" spans="2:11" ht="20.149999999999999" customHeight="1" outlineLevel="1">
      <c r="B83" s="229" t="s">
        <v>10</v>
      </c>
      <c r="C83" s="230"/>
      <c r="D83" s="230"/>
      <c r="E83" s="231" t="s">
        <v>239</v>
      </c>
      <c r="F83" s="232"/>
      <c r="G83" s="233"/>
      <c r="H83" s="234"/>
      <c r="I83" s="235"/>
      <c r="J83" s="236"/>
      <c r="K83" s="237"/>
    </row>
    <row r="84" spans="2:11" ht="25" outlineLevel="1">
      <c r="B84" s="238" t="s">
        <v>103</v>
      </c>
      <c r="C84" s="239">
        <v>96617</v>
      </c>
      <c r="D84" s="240" t="s">
        <v>41</v>
      </c>
      <c r="E84" s="151" t="s">
        <v>297</v>
      </c>
      <c r="F84" s="216"/>
      <c r="G84" s="224" t="s">
        <v>33</v>
      </c>
      <c r="H84" s="187" t="s">
        <v>318</v>
      </c>
      <c r="I84" s="187" t="s">
        <v>318</v>
      </c>
      <c r="J84" s="223" t="s">
        <v>316</v>
      </c>
      <c r="K84" s="458"/>
    </row>
    <row r="85" spans="2:11" outlineLevel="1">
      <c r="B85" s="242"/>
      <c r="C85" s="226"/>
      <c r="D85" s="227"/>
      <c r="E85" s="131"/>
      <c r="F85" s="208"/>
      <c r="G85" s="466">
        <v>16</v>
      </c>
      <c r="H85" s="214">
        <v>1.5</v>
      </c>
      <c r="I85" s="191">
        <v>1.5</v>
      </c>
      <c r="J85" s="214">
        <f t="shared" ref="J85:J87" si="5">ROUND(I85*H85*G85,2)</f>
        <v>36</v>
      </c>
      <c r="K85" s="369" t="s">
        <v>575</v>
      </c>
    </row>
    <row r="86" spans="2:11" outlineLevel="1">
      <c r="B86" s="242"/>
      <c r="C86" s="226"/>
      <c r="D86" s="227"/>
      <c r="E86" s="131"/>
      <c r="F86" s="208"/>
      <c r="G86" s="466">
        <v>22</v>
      </c>
      <c r="H86" s="214">
        <v>0.8</v>
      </c>
      <c r="I86" s="191">
        <v>0.8</v>
      </c>
      <c r="J86" s="214">
        <f t="shared" si="5"/>
        <v>14.08</v>
      </c>
      <c r="K86" s="369" t="s">
        <v>576</v>
      </c>
    </row>
    <row r="87" spans="2:11" outlineLevel="1">
      <c r="B87" s="242"/>
      <c r="C87" s="226"/>
      <c r="D87" s="227"/>
      <c r="E87" s="131"/>
      <c r="F87" s="208"/>
      <c r="G87" s="466">
        <v>7</v>
      </c>
      <c r="H87" s="214">
        <v>1.2</v>
      </c>
      <c r="I87" s="191">
        <v>1.2</v>
      </c>
      <c r="J87" s="214">
        <f t="shared" si="5"/>
        <v>10.08</v>
      </c>
      <c r="K87" s="369" t="s">
        <v>577</v>
      </c>
    </row>
    <row r="88" spans="2:11" ht="13" outlineLevel="1">
      <c r="B88" s="242"/>
      <c r="C88" s="226"/>
      <c r="D88" s="227"/>
      <c r="E88" s="131"/>
      <c r="F88" s="208"/>
      <c r="G88" s="214"/>
      <c r="H88" s="191"/>
      <c r="I88" s="193" t="s">
        <v>529</v>
      </c>
      <c r="J88" s="194">
        <f>SUM(J85:J87)</f>
        <v>60.16</v>
      </c>
      <c r="K88" s="369"/>
    </row>
    <row r="89" spans="2:11" outlineLevel="1">
      <c r="B89" s="243"/>
      <c r="C89" s="244"/>
      <c r="D89" s="245"/>
      <c r="E89" s="138"/>
      <c r="F89" s="209"/>
      <c r="G89" s="246"/>
      <c r="H89" s="197"/>
      <c r="I89" s="197"/>
      <c r="J89" s="246"/>
      <c r="K89" s="139"/>
    </row>
    <row r="90" spans="2:11" ht="19.5" customHeight="1" outlineLevel="1">
      <c r="B90" s="238" t="s">
        <v>104</v>
      </c>
      <c r="C90" s="239">
        <v>92270</v>
      </c>
      <c r="D90" s="240" t="s">
        <v>41</v>
      </c>
      <c r="E90" s="151" t="s">
        <v>298</v>
      </c>
      <c r="F90" s="467"/>
      <c r="G90" s="212" t="s">
        <v>33</v>
      </c>
      <c r="H90" s="187" t="s">
        <v>525</v>
      </c>
      <c r="I90" s="187" t="s">
        <v>524</v>
      </c>
      <c r="J90" s="256" t="s">
        <v>316</v>
      </c>
      <c r="K90" s="147" t="s">
        <v>583</v>
      </c>
    </row>
    <row r="91" spans="2:11" outlineLevel="1">
      <c r="B91" s="242"/>
      <c r="C91" s="226"/>
      <c r="D91" s="227"/>
      <c r="E91" s="131"/>
      <c r="F91" s="208"/>
      <c r="G91" s="466">
        <v>4</v>
      </c>
      <c r="H91" s="191">
        <v>0.6</v>
      </c>
      <c r="I91" s="191">
        <v>6</v>
      </c>
      <c r="J91" s="228">
        <f>ROUND(I91*H91*G91,2)</f>
        <v>14.4</v>
      </c>
      <c r="K91" s="369" t="s">
        <v>575</v>
      </c>
    </row>
    <row r="92" spans="2:11" outlineLevel="1">
      <c r="B92" s="242"/>
      <c r="C92" s="226"/>
      <c r="D92" s="227"/>
      <c r="E92" s="131"/>
      <c r="F92" s="208"/>
      <c r="G92" s="466">
        <v>6</v>
      </c>
      <c r="H92" s="191">
        <v>0.4</v>
      </c>
      <c r="I92" s="191">
        <v>3.2</v>
      </c>
      <c r="J92" s="228">
        <f t="shared" ref="J92:J93" si="6">ROUND(I92*H92*G92,2)</f>
        <v>7.68</v>
      </c>
      <c r="K92" s="369" t="s">
        <v>576</v>
      </c>
    </row>
    <row r="93" spans="2:11" outlineLevel="1">
      <c r="B93" s="242"/>
      <c r="C93" s="226"/>
      <c r="D93" s="227"/>
      <c r="E93" s="131"/>
      <c r="F93" s="208"/>
      <c r="G93" s="466">
        <v>4</v>
      </c>
      <c r="H93" s="191">
        <v>0.4</v>
      </c>
      <c r="I93" s="191">
        <v>4.8</v>
      </c>
      <c r="J93" s="228">
        <f t="shared" si="6"/>
        <v>7.68</v>
      </c>
      <c r="K93" s="369" t="s">
        <v>577</v>
      </c>
    </row>
    <row r="94" spans="2:11" ht="13" outlineLevel="1">
      <c r="B94" s="242"/>
      <c r="C94" s="226"/>
      <c r="D94" s="227"/>
      <c r="E94" s="131"/>
      <c r="F94" s="208"/>
      <c r="G94" s="225"/>
      <c r="H94" s="191"/>
      <c r="I94" s="193" t="s">
        <v>529</v>
      </c>
      <c r="J94" s="194">
        <f>SUM(J91:J93)</f>
        <v>29.759999999999998</v>
      </c>
      <c r="K94" s="134"/>
    </row>
    <row r="95" spans="2:11" outlineLevel="1">
      <c r="B95" s="243"/>
      <c r="C95" s="244"/>
      <c r="D95" s="245"/>
      <c r="E95" s="138"/>
      <c r="F95" s="209"/>
      <c r="G95" s="248"/>
      <c r="H95" s="197"/>
      <c r="I95" s="197"/>
      <c r="J95" s="248"/>
      <c r="K95" s="139"/>
    </row>
    <row r="96" spans="2:11" ht="20.25" customHeight="1" outlineLevel="1">
      <c r="B96" s="238" t="s">
        <v>105</v>
      </c>
      <c r="C96" s="150">
        <v>92884</v>
      </c>
      <c r="D96" s="164" t="s">
        <v>41</v>
      </c>
      <c r="E96" s="151" t="s">
        <v>302</v>
      </c>
      <c r="F96" s="216"/>
      <c r="G96" s="247"/>
      <c r="H96" s="187" t="s">
        <v>33</v>
      </c>
      <c r="I96" s="187" t="s">
        <v>535</v>
      </c>
      <c r="J96" s="256" t="s">
        <v>309</v>
      </c>
      <c r="K96" s="147"/>
    </row>
    <row r="97" spans="2:11" outlineLevel="1">
      <c r="B97" s="242"/>
      <c r="C97" s="130"/>
      <c r="D97" s="132"/>
      <c r="E97" s="131"/>
      <c r="F97" s="208"/>
      <c r="G97" s="225"/>
      <c r="H97" s="466">
        <v>16</v>
      </c>
      <c r="I97" s="191">
        <v>16.66</v>
      </c>
      <c r="J97" s="225">
        <f>ROUND(I97*H97,2)</f>
        <v>266.56</v>
      </c>
      <c r="K97" s="369" t="s">
        <v>575</v>
      </c>
    </row>
    <row r="98" spans="2:11" outlineLevel="1">
      <c r="B98" s="242"/>
      <c r="C98" s="130"/>
      <c r="D98" s="132"/>
      <c r="E98" s="131"/>
      <c r="F98" s="208"/>
      <c r="G98" s="225"/>
      <c r="H98" s="466">
        <v>22</v>
      </c>
      <c r="I98" s="191">
        <v>7.02</v>
      </c>
      <c r="J98" s="225">
        <f t="shared" ref="J98:J99" si="7">ROUND(I98*H98,2)</f>
        <v>154.44</v>
      </c>
      <c r="K98" s="369" t="s">
        <v>576</v>
      </c>
    </row>
    <row r="99" spans="2:11" outlineLevel="1">
      <c r="B99" s="242"/>
      <c r="C99" s="130"/>
      <c r="D99" s="132"/>
      <c r="E99" s="131"/>
      <c r="F99" s="208"/>
      <c r="G99" s="225"/>
      <c r="H99" s="466">
        <v>7</v>
      </c>
      <c r="I99" s="191">
        <v>5.92</v>
      </c>
      <c r="J99" s="225">
        <f t="shared" si="7"/>
        <v>41.44</v>
      </c>
      <c r="K99" s="369" t="s">
        <v>577</v>
      </c>
    </row>
    <row r="100" spans="2:11" ht="13" outlineLevel="1">
      <c r="B100" s="242"/>
      <c r="C100" s="130"/>
      <c r="D100" s="132"/>
      <c r="E100" s="131"/>
      <c r="F100" s="208"/>
      <c r="G100" s="225"/>
      <c r="H100" s="191"/>
      <c r="I100" s="193" t="s">
        <v>529</v>
      </c>
      <c r="J100" s="194">
        <f>SUM(J97:J99)</f>
        <v>462.44</v>
      </c>
      <c r="K100" s="134"/>
    </row>
    <row r="101" spans="2:11" outlineLevel="1">
      <c r="B101" s="243"/>
      <c r="C101" s="137"/>
      <c r="D101" s="162"/>
      <c r="E101" s="138"/>
      <c r="F101" s="209"/>
      <c r="G101" s="248"/>
      <c r="H101" s="197"/>
      <c r="I101" s="197"/>
      <c r="J101" s="248"/>
      <c r="K101" s="139"/>
    </row>
    <row r="102" spans="2:11" ht="25" outlineLevel="1">
      <c r="B102" s="238" t="s">
        <v>106</v>
      </c>
      <c r="C102" s="239">
        <v>94965</v>
      </c>
      <c r="D102" s="240" t="s">
        <v>41</v>
      </c>
      <c r="E102" s="151" t="s">
        <v>303</v>
      </c>
      <c r="F102" s="224" t="s">
        <v>33</v>
      </c>
      <c r="G102" s="187" t="s">
        <v>318</v>
      </c>
      <c r="H102" s="187" t="s">
        <v>318</v>
      </c>
      <c r="I102" s="187" t="s">
        <v>532</v>
      </c>
      <c r="J102" s="256" t="s">
        <v>319</v>
      </c>
      <c r="K102" s="147"/>
    </row>
    <row r="103" spans="2:11" ht="12" customHeight="1" outlineLevel="1">
      <c r="B103" s="242"/>
      <c r="C103" s="226"/>
      <c r="D103" s="227"/>
      <c r="E103" s="131"/>
      <c r="F103" s="466">
        <v>16</v>
      </c>
      <c r="G103" s="225">
        <v>1.5</v>
      </c>
      <c r="H103" s="191">
        <v>1.5</v>
      </c>
      <c r="I103" s="191">
        <v>0.6</v>
      </c>
      <c r="J103" s="228">
        <f>ROUND(I103*H103*G103,2)</f>
        <v>1.35</v>
      </c>
      <c r="K103" s="369" t="s">
        <v>575</v>
      </c>
    </row>
    <row r="104" spans="2:11" ht="12" customHeight="1" outlineLevel="1">
      <c r="B104" s="242"/>
      <c r="C104" s="226"/>
      <c r="D104" s="227"/>
      <c r="E104" s="131"/>
      <c r="F104" s="466">
        <v>22</v>
      </c>
      <c r="G104" s="225">
        <v>0.8</v>
      </c>
      <c r="H104" s="191">
        <v>0.8</v>
      </c>
      <c r="I104" s="191">
        <v>0.4</v>
      </c>
      <c r="J104" s="228">
        <f t="shared" ref="J104:J106" si="8">ROUND(I104*H104*G104,2)</f>
        <v>0.26</v>
      </c>
      <c r="K104" s="369" t="s">
        <v>576</v>
      </c>
    </row>
    <row r="105" spans="2:11" ht="12" customHeight="1" outlineLevel="1">
      <c r="B105" s="242"/>
      <c r="C105" s="226"/>
      <c r="D105" s="227"/>
      <c r="E105" s="131"/>
      <c r="F105" s="466">
        <v>7</v>
      </c>
      <c r="G105" s="225">
        <v>1.2</v>
      </c>
      <c r="H105" s="191">
        <v>1.2</v>
      </c>
      <c r="I105" s="191">
        <v>0.4</v>
      </c>
      <c r="J105" s="228">
        <f t="shared" si="8"/>
        <v>0.57999999999999996</v>
      </c>
      <c r="K105" s="369" t="s">
        <v>577</v>
      </c>
    </row>
    <row r="106" spans="2:11" ht="12" customHeight="1" outlineLevel="1">
      <c r="B106" s="242"/>
      <c r="C106" s="226"/>
      <c r="D106" s="227"/>
      <c r="E106" s="131"/>
      <c r="F106" s="466">
        <v>14</v>
      </c>
      <c r="G106" s="225">
        <v>0.6</v>
      </c>
      <c r="H106" s="191">
        <v>0.6</v>
      </c>
      <c r="I106" s="191">
        <v>0.3</v>
      </c>
      <c r="J106" s="228">
        <f t="shared" si="8"/>
        <v>0.11</v>
      </c>
      <c r="K106" s="369" t="s">
        <v>648</v>
      </c>
    </row>
    <row r="107" spans="2:11" ht="13" outlineLevel="1">
      <c r="B107" s="242"/>
      <c r="C107" s="226"/>
      <c r="D107" s="227"/>
      <c r="E107" s="131"/>
      <c r="F107" s="208"/>
      <c r="G107" s="225"/>
      <c r="H107" s="191"/>
      <c r="I107" s="193" t="s">
        <v>529</v>
      </c>
      <c r="J107" s="194">
        <f>SUM(J103:J106)</f>
        <v>2.2999999999999998</v>
      </c>
      <c r="K107" s="134"/>
    </row>
    <row r="108" spans="2:11" outlineLevel="1">
      <c r="B108" s="243"/>
      <c r="C108" s="244"/>
      <c r="D108" s="245"/>
      <c r="E108" s="138"/>
      <c r="F108" s="209"/>
      <c r="G108" s="248"/>
      <c r="H108" s="197"/>
      <c r="I108" s="197"/>
      <c r="J108" s="248"/>
      <c r="K108" s="139"/>
    </row>
    <row r="109" spans="2:11" ht="20.149999999999999" customHeight="1" outlineLevel="1">
      <c r="B109" s="249" t="s">
        <v>11</v>
      </c>
      <c r="C109" s="250"/>
      <c r="D109" s="250"/>
      <c r="E109" s="251" t="s">
        <v>238</v>
      </c>
      <c r="F109" s="252"/>
      <c r="G109" s="253"/>
      <c r="H109" s="254"/>
      <c r="I109" s="254"/>
      <c r="J109" s="253"/>
      <c r="K109" s="255"/>
    </row>
    <row r="110" spans="2:11" ht="25" outlineLevel="1">
      <c r="B110" s="238" t="s">
        <v>107</v>
      </c>
      <c r="C110" s="239">
        <v>96617</v>
      </c>
      <c r="D110" s="240" t="s">
        <v>41</v>
      </c>
      <c r="E110" s="151" t="s">
        <v>297</v>
      </c>
      <c r="F110" s="216"/>
      <c r="G110" s="241" t="s">
        <v>524</v>
      </c>
      <c r="H110" s="199" t="s">
        <v>525</v>
      </c>
      <c r="I110" s="199" t="s">
        <v>531</v>
      </c>
      <c r="J110" s="241" t="s">
        <v>316</v>
      </c>
      <c r="K110" s="147"/>
    </row>
    <row r="111" spans="2:11" outlineLevel="1">
      <c r="B111" s="242"/>
      <c r="C111" s="226"/>
      <c r="D111" s="227"/>
      <c r="E111" s="131"/>
      <c r="F111" s="208"/>
      <c r="G111" s="214">
        <v>70</v>
      </c>
      <c r="H111" s="191">
        <v>0.5</v>
      </c>
      <c r="I111" s="191">
        <v>0.6</v>
      </c>
      <c r="J111" s="214">
        <f>ROUND(I111*H111*G111,2)</f>
        <v>21</v>
      </c>
      <c r="K111" s="369" t="s">
        <v>579</v>
      </c>
    </row>
    <row r="112" spans="2:11" outlineLevel="1">
      <c r="B112" s="242"/>
      <c r="C112" s="226"/>
      <c r="D112" s="227"/>
      <c r="E112" s="131"/>
      <c r="F112" s="208"/>
      <c r="G112" s="214">
        <f>19.73+29.69+22.29</f>
        <v>71.710000000000008</v>
      </c>
      <c r="H112" s="191">
        <v>0.15</v>
      </c>
      <c r="I112" s="191">
        <v>0.3</v>
      </c>
      <c r="J112" s="214">
        <f t="shared" ref="J112:J113" si="9">ROUND(I112*H112*G112,2)</f>
        <v>3.23</v>
      </c>
      <c r="K112" s="369" t="s">
        <v>580</v>
      </c>
    </row>
    <row r="113" spans="2:11" outlineLevel="1">
      <c r="B113" s="242"/>
      <c r="C113" s="226"/>
      <c r="D113" s="227"/>
      <c r="E113" s="131"/>
      <c r="F113" s="208"/>
      <c r="G113" s="214">
        <v>45.4</v>
      </c>
      <c r="H113" s="191">
        <v>0.15</v>
      </c>
      <c r="I113" s="191">
        <v>0.3</v>
      </c>
      <c r="J113" s="214">
        <f t="shared" si="9"/>
        <v>2.04</v>
      </c>
      <c r="K113" s="369" t="s">
        <v>581</v>
      </c>
    </row>
    <row r="114" spans="2:11" ht="13" outlineLevel="1">
      <c r="B114" s="242"/>
      <c r="C114" s="226"/>
      <c r="D114" s="227"/>
      <c r="E114" s="131"/>
      <c r="F114" s="208"/>
      <c r="G114" s="214"/>
      <c r="H114" s="191"/>
      <c r="I114" s="193" t="s">
        <v>529</v>
      </c>
      <c r="J114" s="194">
        <f>SUM(J111:J113)</f>
        <v>26.27</v>
      </c>
      <c r="K114" s="369"/>
    </row>
    <row r="115" spans="2:11" ht="13" outlineLevel="1">
      <c r="B115" s="468"/>
      <c r="C115" s="469"/>
      <c r="D115" s="470"/>
      <c r="E115" s="318"/>
      <c r="F115" s="319"/>
      <c r="G115" s="471"/>
      <c r="H115" s="262"/>
      <c r="I115" s="472"/>
      <c r="J115" s="473"/>
      <c r="K115" s="460"/>
    </row>
    <row r="116" spans="2:11" ht="25.5" customHeight="1" outlineLevel="1">
      <c r="B116" s="238" t="s">
        <v>108</v>
      </c>
      <c r="C116" s="239">
        <v>92270</v>
      </c>
      <c r="D116" s="240" t="s">
        <v>41</v>
      </c>
      <c r="E116" s="151" t="s">
        <v>298</v>
      </c>
      <c r="F116" s="216"/>
      <c r="G116" s="241" t="s">
        <v>524</v>
      </c>
      <c r="H116" s="199" t="s">
        <v>525</v>
      </c>
      <c r="I116" s="199" t="s">
        <v>531</v>
      </c>
      <c r="J116" s="241" t="s">
        <v>316</v>
      </c>
      <c r="K116" s="147" t="s">
        <v>584</v>
      </c>
    </row>
    <row r="117" spans="2:11" outlineLevel="1">
      <c r="B117" s="242"/>
      <c r="C117" s="226"/>
      <c r="D117" s="227"/>
      <c r="E117" s="131"/>
      <c r="F117" s="208"/>
      <c r="G117" s="214">
        <v>35</v>
      </c>
      <c r="H117" s="191">
        <v>0.5</v>
      </c>
      <c r="I117" s="191">
        <v>0.6</v>
      </c>
      <c r="J117" s="214">
        <f>ROUND(I117*H117*G117,2)</f>
        <v>10.5</v>
      </c>
      <c r="K117" s="369" t="s">
        <v>579</v>
      </c>
    </row>
    <row r="118" spans="2:11" outlineLevel="1">
      <c r="B118" s="242"/>
      <c r="C118" s="226"/>
      <c r="D118" s="227"/>
      <c r="E118" s="131"/>
      <c r="F118" s="208"/>
      <c r="G118" s="214">
        <v>35</v>
      </c>
      <c r="H118" s="191">
        <v>0.15</v>
      </c>
      <c r="I118" s="191">
        <v>0.3</v>
      </c>
      <c r="J118" s="214">
        <f t="shared" ref="J118:J119" si="10">ROUND(I118*H118*G118,2)</f>
        <v>1.58</v>
      </c>
      <c r="K118" s="369" t="s">
        <v>580</v>
      </c>
    </row>
    <row r="119" spans="2:11" outlineLevel="1">
      <c r="B119" s="242"/>
      <c r="C119" s="226"/>
      <c r="D119" s="227"/>
      <c r="E119" s="131"/>
      <c r="F119" s="208"/>
      <c r="G119" s="214">
        <v>22</v>
      </c>
      <c r="H119" s="191">
        <v>0.15</v>
      </c>
      <c r="I119" s="191">
        <v>0.3</v>
      </c>
      <c r="J119" s="214">
        <f t="shared" si="10"/>
        <v>0.99</v>
      </c>
      <c r="K119" s="369" t="s">
        <v>581</v>
      </c>
    </row>
    <row r="120" spans="2:11" ht="13" outlineLevel="1">
      <c r="B120" s="474"/>
      <c r="C120" s="475"/>
      <c r="D120" s="312"/>
      <c r="E120" s="307"/>
      <c r="F120" s="308"/>
      <c r="G120" s="476"/>
      <c r="H120" s="202"/>
      <c r="I120" s="193" t="s">
        <v>529</v>
      </c>
      <c r="J120" s="194">
        <f>SUM(J117:J119)</f>
        <v>13.07</v>
      </c>
      <c r="K120" s="459"/>
    </row>
    <row r="121" spans="2:11" outlineLevel="1">
      <c r="B121" s="243"/>
      <c r="C121" s="244"/>
      <c r="D121" s="245"/>
      <c r="E121" s="138"/>
      <c r="F121" s="209"/>
      <c r="G121" s="248"/>
      <c r="H121" s="197"/>
      <c r="I121" s="197"/>
      <c r="J121" s="248"/>
      <c r="K121" s="139"/>
    </row>
    <row r="122" spans="2:11" ht="20.25" customHeight="1" outlineLevel="1">
      <c r="B122" s="238" t="s">
        <v>109</v>
      </c>
      <c r="C122" s="150">
        <v>92882</v>
      </c>
      <c r="D122" s="164" t="s">
        <v>41</v>
      </c>
      <c r="E122" s="151" t="s">
        <v>304</v>
      </c>
      <c r="F122" s="241" t="s">
        <v>524</v>
      </c>
      <c r="G122" s="65" t="s">
        <v>586</v>
      </c>
      <c r="H122" s="241" t="s">
        <v>585</v>
      </c>
      <c r="I122" s="199" t="s">
        <v>587</v>
      </c>
      <c r="J122" s="247" t="s">
        <v>309</v>
      </c>
      <c r="K122" s="147"/>
    </row>
    <row r="123" spans="2:11" outlineLevel="1">
      <c r="B123" s="242"/>
      <c r="C123" s="130"/>
      <c r="D123" s="132"/>
      <c r="E123" s="131"/>
      <c r="F123" s="214">
        <v>70</v>
      </c>
      <c r="G123" s="214">
        <f>F123/0.2</f>
        <v>350</v>
      </c>
      <c r="H123" s="191">
        <v>2.04</v>
      </c>
      <c r="I123" s="191">
        <v>0.245</v>
      </c>
      <c r="J123" s="225">
        <f>ROUND(I123*H123*G123,2)</f>
        <v>174.93</v>
      </c>
      <c r="K123" s="369" t="s">
        <v>579</v>
      </c>
    </row>
    <row r="124" spans="2:11" outlineLevel="1">
      <c r="B124" s="242"/>
      <c r="C124" s="130"/>
      <c r="D124" s="132"/>
      <c r="E124" s="131"/>
      <c r="F124" s="214">
        <f>19.73+29.69+22.29</f>
        <v>71.710000000000008</v>
      </c>
      <c r="G124" s="214">
        <v>358</v>
      </c>
      <c r="H124" s="191">
        <v>0.74</v>
      </c>
      <c r="I124" s="191">
        <v>0.245</v>
      </c>
      <c r="J124" s="225">
        <f t="shared" ref="J124:J125" si="11">ROUND(I124*H124*G124,2)</f>
        <v>64.91</v>
      </c>
      <c r="K124" s="369" t="s">
        <v>580</v>
      </c>
    </row>
    <row r="125" spans="2:11" outlineLevel="1">
      <c r="B125" s="242"/>
      <c r="C125" s="130"/>
      <c r="D125" s="132"/>
      <c r="E125" s="131"/>
      <c r="F125" s="214">
        <v>45.4</v>
      </c>
      <c r="G125" s="214">
        <f t="shared" ref="G125" si="12">F125/0.2</f>
        <v>226.99999999999997</v>
      </c>
      <c r="H125" s="191">
        <v>0.74</v>
      </c>
      <c r="I125" s="191">
        <v>0.245</v>
      </c>
      <c r="J125" s="225">
        <f t="shared" si="11"/>
        <v>41.16</v>
      </c>
      <c r="K125" s="369" t="s">
        <v>581</v>
      </c>
    </row>
    <row r="126" spans="2:11" ht="13" outlineLevel="1">
      <c r="B126" s="474"/>
      <c r="C126" s="275"/>
      <c r="D126" s="306"/>
      <c r="E126" s="307"/>
      <c r="F126" s="477"/>
      <c r="G126" s="477"/>
      <c r="H126" s="202"/>
      <c r="I126" s="193" t="s">
        <v>529</v>
      </c>
      <c r="J126" s="194">
        <f>SUM(J123:J125)</f>
        <v>281</v>
      </c>
      <c r="K126" s="149"/>
    </row>
    <row r="127" spans="2:11" outlineLevel="1">
      <c r="B127" s="243"/>
      <c r="C127" s="137"/>
      <c r="D127" s="162"/>
      <c r="E127" s="138"/>
      <c r="F127" s="209"/>
      <c r="G127" s="248"/>
      <c r="H127" s="197"/>
      <c r="I127" s="197"/>
      <c r="J127" s="248"/>
      <c r="K127" s="139"/>
    </row>
    <row r="128" spans="2:11" ht="20.25" customHeight="1" outlineLevel="1">
      <c r="B128" s="238" t="s">
        <v>110</v>
      </c>
      <c r="C128" s="150">
        <v>92884</v>
      </c>
      <c r="D128" s="164" t="s">
        <v>41</v>
      </c>
      <c r="E128" s="151" t="s">
        <v>302</v>
      </c>
      <c r="F128" s="241"/>
      <c r="G128" s="241" t="s">
        <v>524</v>
      </c>
      <c r="H128" s="247" t="s">
        <v>33</v>
      </c>
      <c r="I128" s="199" t="s">
        <v>587</v>
      </c>
      <c r="J128" s="247" t="s">
        <v>309</v>
      </c>
      <c r="K128" s="147"/>
    </row>
    <row r="129" spans="2:11" outlineLevel="1">
      <c r="B129" s="242"/>
      <c r="C129" s="130"/>
      <c r="D129" s="132"/>
      <c r="E129" s="131"/>
      <c r="F129" s="214"/>
      <c r="G129" s="214">
        <v>70</v>
      </c>
      <c r="H129" s="225">
        <v>4</v>
      </c>
      <c r="I129" s="191">
        <v>0.61699999999999999</v>
      </c>
      <c r="J129" s="214">
        <f>ROUND(I129*H129*G129,2)</f>
        <v>172.76</v>
      </c>
      <c r="K129" s="369" t="s">
        <v>579</v>
      </c>
    </row>
    <row r="130" spans="2:11" outlineLevel="1">
      <c r="B130" s="242"/>
      <c r="C130" s="130"/>
      <c r="D130" s="132"/>
      <c r="E130" s="131"/>
      <c r="F130" s="214"/>
      <c r="G130" s="214">
        <f>19.73+29.69+22.29</f>
        <v>71.710000000000008</v>
      </c>
      <c r="H130" s="225">
        <v>4</v>
      </c>
      <c r="I130" s="191">
        <v>0.61699999999999999</v>
      </c>
      <c r="J130" s="214">
        <f t="shared" ref="J130:J131" si="13">ROUND(I130*H130*G130,2)</f>
        <v>176.98</v>
      </c>
      <c r="K130" s="369" t="s">
        <v>580</v>
      </c>
    </row>
    <row r="131" spans="2:11" outlineLevel="1">
      <c r="B131" s="242"/>
      <c r="C131" s="130"/>
      <c r="D131" s="132"/>
      <c r="E131" s="131"/>
      <c r="F131" s="214"/>
      <c r="G131" s="214">
        <v>45.4</v>
      </c>
      <c r="H131" s="225">
        <v>4</v>
      </c>
      <c r="I131" s="191">
        <v>0.61699999999999999</v>
      </c>
      <c r="J131" s="214">
        <f t="shared" si="13"/>
        <v>112.05</v>
      </c>
      <c r="K131" s="369" t="s">
        <v>581</v>
      </c>
    </row>
    <row r="132" spans="2:11" ht="13" outlineLevel="1">
      <c r="B132" s="474"/>
      <c r="C132" s="275"/>
      <c r="D132" s="306"/>
      <c r="E132" s="307"/>
      <c r="F132" s="308"/>
      <c r="G132" s="476"/>
      <c r="H132" s="202"/>
      <c r="I132" s="193" t="s">
        <v>529</v>
      </c>
      <c r="J132" s="194">
        <f>SUM(J129:J131)</f>
        <v>461.79</v>
      </c>
      <c r="K132" s="149"/>
    </row>
    <row r="133" spans="2:11" outlineLevel="1">
      <c r="B133" s="243"/>
      <c r="C133" s="137"/>
      <c r="D133" s="162"/>
      <c r="E133" s="138"/>
      <c r="F133" s="209"/>
      <c r="G133" s="248"/>
      <c r="H133" s="197"/>
      <c r="I133" s="197"/>
      <c r="J133" s="248"/>
      <c r="K133" s="139"/>
    </row>
    <row r="134" spans="2:11" ht="25" outlineLevel="1">
      <c r="B134" s="238" t="s">
        <v>112</v>
      </c>
      <c r="C134" s="239">
        <v>94965</v>
      </c>
      <c r="D134" s="240" t="s">
        <v>41</v>
      </c>
      <c r="E134" s="151" t="s">
        <v>303</v>
      </c>
      <c r="F134" s="216"/>
      <c r="G134" s="241" t="s">
        <v>524</v>
      </c>
      <c r="H134" s="199" t="s">
        <v>525</v>
      </c>
      <c r="I134" s="199" t="s">
        <v>531</v>
      </c>
      <c r="J134" s="241" t="s">
        <v>319</v>
      </c>
      <c r="K134" s="147"/>
    </row>
    <row r="135" spans="2:11" outlineLevel="1">
      <c r="B135" s="242"/>
      <c r="C135" s="226"/>
      <c r="D135" s="227"/>
      <c r="E135" s="131"/>
      <c r="F135" s="208"/>
      <c r="G135" s="214">
        <v>70</v>
      </c>
      <c r="H135" s="191">
        <v>0.5</v>
      </c>
      <c r="I135" s="191">
        <v>0.6</v>
      </c>
      <c r="J135" s="214">
        <f>ROUND(I135*H135*G135,2)</f>
        <v>21</v>
      </c>
      <c r="K135" s="369" t="s">
        <v>579</v>
      </c>
    </row>
    <row r="136" spans="2:11" outlineLevel="1">
      <c r="B136" s="242"/>
      <c r="C136" s="226"/>
      <c r="D136" s="227"/>
      <c r="E136" s="131"/>
      <c r="F136" s="208"/>
      <c r="G136" s="214">
        <f>19.73+29.69+22.29</f>
        <v>71.710000000000008</v>
      </c>
      <c r="H136" s="191">
        <v>0.15</v>
      </c>
      <c r="I136" s="191">
        <v>0.3</v>
      </c>
      <c r="J136" s="214">
        <f t="shared" ref="J136:J137" si="14">ROUND(I136*H136*G136,2)</f>
        <v>3.23</v>
      </c>
      <c r="K136" s="369" t="s">
        <v>580</v>
      </c>
    </row>
    <row r="137" spans="2:11" outlineLevel="1">
      <c r="B137" s="242"/>
      <c r="C137" s="226"/>
      <c r="D137" s="227"/>
      <c r="E137" s="131"/>
      <c r="F137" s="208"/>
      <c r="G137" s="214">
        <v>45.4</v>
      </c>
      <c r="H137" s="191">
        <v>0.15</v>
      </c>
      <c r="I137" s="191">
        <v>0.3</v>
      </c>
      <c r="J137" s="214">
        <f t="shared" si="14"/>
        <v>2.04</v>
      </c>
      <c r="K137" s="369" t="s">
        <v>581</v>
      </c>
    </row>
    <row r="138" spans="2:11" ht="13" outlineLevel="1">
      <c r="B138" s="474"/>
      <c r="C138" s="475"/>
      <c r="D138" s="312"/>
      <c r="E138" s="307"/>
      <c r="F138" s="308"/>
      <c r="G138" s="214"/>
      <c r="H138" s="191"/>
      <c r="I138" s="193" t="s">
        <v>529</v>
      </c>
      <c r="J138" s="194">
        <f>SUM(J135:J137)</f>
        <v>26.27</v>
      </c>
      <c r="K138" s="369"/>
    </row>
    <row r="139" spans="2:11" outlineLevel="1">
      <c r="B139" s="243"/>
      <c r="C139" s="244"/>
      <c r="D139" s="245"/>
      <c r="E139" s="138"/>
      <c r="F139" s="209"/>
      <c r="G139" s="248"/>
      <c r="H139" s="197"/>
      <c r="I139" s="197"/>
      <c r="J139" s="198"/>
      <c r="K139" s="139"/>
    </row>
    <row r="140" spans="2:11" ht="20.149999999999999" customHeight="1">
      <c r="B140" s="87"/>
      <c r="C140" s="87"/>
      <c r="D140" s="87"/>
      <c r="H140" s="126"/>
      <c r="I140" s="210"/>
      <c r="J140" s="210"/>
      <c r="K140" s="127"/>
    </row>
    <row r="141" spans="2:11" ht="20.149999999999999" customHeight="1">
      <c r="B141" s="478">
        <v>4</v>
      </c>
      <c r="C141" s="289"/>
      <c r="D141" s="289"/>
      <c r="E141" s="479" t="s">
        <v>551</v>
      </c>
      <c r="F141" s="480"/>
      <c r="G141" s="481"/>
      <c r="H141" s="482"/>
      <c r="I141" s="483"/>
      <c r="J141" s="483"/>
      <c r="K141" s="484"/>
    </row>
    <row r="142" spans="2:11" ht="13" outlineLevel="1">
      <c r="B142" s="249" t="s">
        <v>12</v>
      </c>
      <c r="C142" s="486"/>
      <c r="D142" s="486"/>
      <c r="E142" s="251" t="s">
        <v>275</v>
      </c>
      <c r="F142" s="252"/>
      <c r="G142" s="253"/>
      <c r="H142" s="487"/>
      <c r="I142" s="488"/>
      <c r="J142" s="304"/>
      <c r="K142" s="255"/>
    </row>
    <row r="143" spans="2:11" outlineLevel="1">
      <c r="B143" s="159" t="s">
        <v>113</v>
      </c>
      <c r="C143" s="357">
        <v>92270</v>
      </c>
      <c r="D143" s="261" t="s">
        <v>41</v>
      </c>
      <c r="E143" s="154" t="s">
        <v>298</v>
      </c>
      <c r="F143" s="297"/>
      <c r="G143" s="485"/>
      <c r="H143" s="262" t="s">
        <v>524</v>
      </c>
      <c r="I143" s="262" t="s">
        <v>531</v>
      </c>
      <c r="J143" s="485" t="s">
        <v>316</v>
      </c>
      <c r="K143" s="143"/>
    </row>
    <row r="144" spans="2:11" outlineLevel="1">
      <c r="B144" s="160"/>
      <c r="C144" s="226"/>
      <c r="D144" s="227"/>
      <c r="E144" s="131"/>
      <c r="F144" s="208"/>
      <c r="G144" s="225"/>
      <c r="H144" s="191">
        <v>39.700000000000003</v>
      </c>
      <c r="I144" s="191">
        <v>0.3</v>
      </c>
      <c r="J144" s="225">
        <f>ROUND(I144*H144,2)</f>
        <v>11.91</v>
      </c>
      <c r="K144" s="369" t="s">
        <v>581</v>
      </c>
    </row>
    <row r="145" spans="2:11" outlineLevel="1">
      <c r="B145" s="160"/>
      <c r="C145" s="226"/>
      <c r="D145" s="227"/>
      <c r="E145" s="131"/>
      <c r="F145" s="208"/>
      <c r="G145" s="225"/>
      <c r="H145" s="191">
        <v>26.4</v>
      </c>
      <c r="I145" s="191">
        <v>0.3</v>
      </c>
      <c r="J145" s="225">
        <f>ROUND(I145*H145,2)</f>
        <v>7.92</v>
      </c>
      <c r="K145" s="369" t="s">
        <v>581</v>
      </c>
    </row>
    <row r="146" spans="2:11" outlineLevel="1">
      <c r="B146" s="160"/>
      <c r="C146" s="226"/>
      <c r="D146" s="227"/>
      <c r="E146" s="131"/>
      <c r="F146" s="208"/>
      <c r="G146" s="225"/>
      <c r="H146" s="191">
        <v>90</v>
      </c>
      <c r="I146" s="191">
        <v>0.3</v>
      </c>
      <c r="J146" s="225">
        <f>ROUND(I146*H146,2)</f>
        <v>27</v>
      </c>
      <c r="K146" s="369" t="s">
        <v>588</v>
      </c>
    </row>
    <row r="147" spans="2:11" ht="13" outlineLevel="1">
      <c r="B147" s="160"/>
      <c r="C147" s="226"/>
      <c r="D147" s="227"/>
      <c r="E147" s="131"/>
      <c r="F147" s="208"/>
      <c r="G147" s="225"/>
      <c r="H147" s="191"/>
      <c r="I147" s="193" t="s">
        <v>529</v>
      </c>
      <c r="J147" s="194">
        <f>SUM(J144:J146)</f>
        <v>46.83</v>
      </c>
      <c r="K147" s="134"/>
    </row>
    <row r="148" spans="2:11" outlineLevel="1">
      <c r="B148" s="161"/>
      <c r="C148" s="244"/>
      <c r="D148" s="245"/>
      <c r="E148" s="138"/>
      <c r="F148" s="209"/>
      <c r="G148" s="248"/>
      <c r="H148" s="197"/>
      <c r="I148" s="197"/>
      <c r="J148" s="248"/>
      <c r="K148" s="139"/>
    </row>
    <row r="149" spans="2:11" outlineLevel="1">
      <c r="B149" s="163" t="s">
        <v>114</v>
      </c>
      <c r="C149" s="150">
        <v>92882</v>
      </c>
      <c r="D149" s="164" t="s">
        <v>41</v>
      </c>
      <c r="E149" s="151" t="s">
        <v>304</v>
      </c>
      <c r="F149" s="241" t="s">
        <v>524</v>
      </c>
      <c r="G149" s="65" t="s">
        <v>586</v>
      </c>
      <c r="H149" s="241" t="s">
        <v>585</v>
      </c>
      <c r="I149" s="199" t="s">
        <v>587</v>
      </c>
      <c r="J149" s="247" t="s">
        <v>309</v>
      </c>
      <c r="K149" s="147"/>
    </row>
    <row r="150" spans="2:11" outlineLevel="1">
      <c r="B150" s="160"/>
      <c r="C150" s="130"/>
      <c r="D150" s="132"/>
      <c r="E150" s="131"/>
      <c r="F150" s="191">
        <v>39.700000000000003</v>
      </c>
      <c r="G150" s="225">
        <v>265</v>
      </c>
      <c r="H150" s="191">
        <v>0.74</v>
      </c>
      <c r="I150" s="191">
        <v>0.245</v>
      </c>
      <c r="J150" s="225">
        <f t="shared" ref="J150" si="15">ROUND(I150*H150*G150,2)</f>
        <v>48.04</v>
      </c>
      <c r="K150" s="369" t="s">
        <v>581</v>
      </c>
    </row>
    <row r="151" spans="2:11" outlineLevel="1">
      <c r="B151" s="160"/>
      <c r="C151" s="130"/>
      <c r="D151" s="132"/>
      <c r="E151" s="131"/>
      <c r="F151" s="191">
        <v>26.4</v>
      </c>
      <c r="G151" s="225">
        <f>F151/0.15</f>
        <v>176</v>
      </c>
      <c r="H151" s="191">
        <v>0.74</v>
      </c>
      <c r="I151" s="191">
        <v>0.245</v>
      </c>
      <c r="J151" s="225">
        <f>ROUND(I151*H151*G151,2)</f>
        <v>31.91</v>
      </c>
      <c r="K151" s="369" t="s">
        <v>581</v>
      </c>
    </row>
    <row r="152" spans="2:11" outlineLevel="1">
      <c r="B152" s="160"/>
      <c r="C152" s="130"/>
      <c r="D152" s="132"/>
      <c r="E152" s="131"/>
      <c r="F152" s="191">
        <v>63.4</v>
      </c>
      <c r="G152" s="225">
        <v>422</v>
      </c>
      <c r="H152" s="191">
        <v>0.74</v>
      </c>
      <c r="I152" s="191">
        <v>0.245</v>
      </c>
      <c r="J152" s="225">
        <f>ROUND(I152*H152*G152,2)</f>
        <v>76.510000000000005</v>
      </c>
      <c r="K152" s="369" t="s">
        <v>580</v>
      </c>
    </row>
    <row r="153" spans="2:11" outlineLevel="1">
      <c r="B153" s="160"/>
      <c r="C153" s="130"/>
      <c r="D153" s="132"/>
      <c r="E153" s="131"/>
      <c r="F153" s="191">
        <v>66.09</v>
      </c>
      <c r="G153" s="225">
        <v>440</v>
      </c>
      <c r="H153" s="191">
        <v>0.74</v>
      </c>
      <c r="I153" s="191">
        <v>0.245</v>
      </c>
      <c r="J153" s="225">
        <f>ROUND(I153*H153*G153,2)</f>
        <v>79.77</v>
      </c>
      <c r="K153" s="369" t="s">
        <v>589</v>
      </c>
    </row>
    <row r="154" spans="2:11" ht="13" outlineLevel="1">
      <c r="B154" s="160"/>
      <c r="C154" s="130"/>
      <c r="D154" s="132"/>
      <c r="E154" s="131"/>
      <c r="F154" s="208"/>
      <c r="G154" s="225"/>
      <c r="H154" s="191"/>
      <c r="I154" s="193" t="s">
        <v>529</v>
      </c>
      <c r="J154" s="489">
        <f>SUM(J150:J153)</f>
        <v>236.23000000000002</v>
      </c>
      <c r="K154" s="134"/>
    </row>
    <row r="155" spans="2:11" outlineLevel="1">
      <c r="B155" s="161"/>
      <c r="C155" s="137"/>
      <c r="D155" s="162"/>
      <c r="E155" s="138"/>
      <c r="F155" s="209"/>
      <c r="G155" s="248"/>
      <c r="H155" s="197"/>
      <c r="I155" s="197"/>
      <c r="J155" s="248"/>
      <c r="K155" s="139"/>
    </row>
    <row r="156" spans="2:11" outlineLevel="1">
      <c r="B156" s="163" t="s">
        <v>115</v>
      </c>
      <c r="C156" s="150">
        <v>92884</v>
      </c>
      <c r="D156" s="164" t="s">
        <v>41</v>
      </c>
      <c r="E156" s="151" t="s">
        <v>302</v>
      </c>
      <c r="F156" s="216"/>
      <c r="G156" s="241" t="s">
        <v>524</v>
      </c>
      <c r="H156" s="247" t="s">
        <v>33</v>
      </c>
      <c r="I156" s="199" t="s">
        <v>587</v>
      </c>
      <c r="J156" s="247" t="s">
        <v>309</v>
      </c>
      <c r="K156" s="147"/>
    </row>
    <row r="157" spans="2:11" outlineLevel="1">
      <c r="B157" s="160"/>
      <c r="C157" s="130"/>
      <c r="D157" s="132"/>
      <c r="E157" s="131"/>
      <c r="F157" s="208"/>
      <c r="G157" s="191">
        <v>39.700000000000003</v>
      </c>
      <c r="H157" s="225">
        <v>4</v>
      </c>
      <c r="I157" s="191">
        <v>0.61699999999999999</v>
      </c>
      <c r="J157" s="214">
        <f>ROUND(I157*H157*G157,2)</f>
        <v>97.98</v>
      </c>
      <c r="K157" s="369" t="s">
        <v>581</v>
      </c>
    </row>
    <row r="158" spans="2:11" outlineLevel="1">
      <c r="B158" s="160"/>
      <c r="C158" s="130"/>
      <c r="D158" s="132"/>
      <c r="E158" s="131"/>
      <c r="F158" s="208"/>
      <c r="G158" s="191">
        <v>26.4</v>
      </c>
      <c r="H158" s="225">
        <v>4</v>
      </c>
      <c r="I158" s="191">
        <v>0.61699999999999999</v>
      </c>
      <c r="J158" s="214">
        <f t="shared" ref="J158:J160" si="16">ROUND(I158*H158*G158,2)</f>
        <v>65.16</v>
      </c>
      <c r="K158" s="369" t="s">
        <v>581</v>
      </c>
    </row>
    <row r="159" spans="2:11" outlineLevel="1">
      <c r="B159" s="160"/>
      <c r="C159" s="130"/>
      <c r="D159" s="132"/>
      <c r="E159" s="131"/>
      <c r="F159" s="208"/>
      <c r="G159" s="191">
        <v>63.4</v>
      </c>
      <c r="H159" s="225">
        <v>4</v>
      </c>
      <c r="I159" s="191">
        <v>0.61699999999999999</v>
      </c>
      <c r="J159" s="214">
        <f t="shared" si="16"/>
        <v>156.47</v>
      </c>
      <c r="K159" s="369" t="s">
        <v>580</v>
      </c>
    </row>
    <row r="160" spans="2:11" outlineLevel="1">
      <c r="B160" s="160"/>
      <c r="C160" s="130"/>
      <c r="D160" s="132"/>
      <c r="E160" s="131"/>
      <c r="F160" s="208"/>
      <c r="G160" s="191">
        <v>66.09</v>
      </c>
      <c r="H160" s="225">
        <v>4</v>
      </c>
      <c r="I160" s="191">
        <v>0.61699999999999999</v>
      </c>
      <c r="J160" s="214">
        <f t="shared" si="16"/>
        <v>163.11000000000001</v>
      </c>
      <c r="K160" s="369" t="s">
        <v>589</v>
      </c>
    </row>
    <row r="161" spans="2:11" ht="13" outlineLevel="1">
      <c r="B161" s="160"/>
      <c r="C161" s="130"/>
      <c r="D161" s="132"/>
      <c r="E161" s="131"/>
      <c r="F161" s="208"/>
      <c r="G161" s="225"/>
      <c r="H161" s="191"/>
      <c r="I161" s="193" t="s">
        <v>529</v>
      </c>
      <c r="J161" s="489">
        <f>SUM(J157:J160)</f>
        <v>482.72</v>
      </c>
      <c r="K161" s="134"/>
    </row>
    <row r="162" spans="2:11" outlineLevel="1">
      <c r="B162" s="161"/>
      <c r="C162" s="137"/>
      <c r="D162" s="162"/>
      <c r="E162" s="138"/>
      <c r="F162" s="209"/>
      <c r="G162" s="248"/>
      <c r="H162" s="197"/>
      <c r="I162" s="197"/>
      <c r="J162" s="248"/>
      <c r="K162" s="139"/>
    </row>
    <row r="163" spans="2:11" ht="25" outlineLevel="1">
      <c r="B163" s="163" t="s">
        <v>116</v>
      </c>
      <c r="C163" s="239">
        <v>94965</v>
      </c>
      <c r="D163" s="240" t="s">
        <v>41</v>
      </c>
      <c r="E163" s="151" t="s">
        <v>303</v>
      </c>
      <c r="F163" s="216"/>
      <c r="G163" s="241" t="s">
        <v>524</v>
      </c>
      <c r="H163" s="199" t="s">
        <v>525</v>
      </c>
      <c r="I163" s="199" t="s">
        <v>531</v>
      </c>
      <c r="J163" s="241" t="s">
        <v>319</v>
      </c>
      <c r="K163" s="147"/>
    </row>
    <row r="164" spans="2:11" outlineLevel="1">
      <c r="B164" s="160"/>
      <c r="C164" s="226"/>
      <c r="D164" s="227"/>
      <c r="E164" s="131"/>
      <c r="F164" s="208"/>
      <c r="G164" s="191">
        <v>39.700000000000003</v>
      </c>
      <c r="H164" s="191">
        <v>0.15</v>
      </c>
      <c r="I164" s="191">
        <v>0.3</v>
      </c>
      <c r="J164" s="214">
        <f t="shared" ref="J164:J165" si="17">ROUND(I164*H164*G164,2)</f>
        <v>1.79</v>
      </c>
      <c r="K164" s="369" t="s">
        <v>581</v>
      </c>
    </row>
    <row r="165" spans="2:11" outlineLevel="1">
      <c r="B165" s="160"/>
      <c r="C165" s="226"/>
      <c r="D165" s="227"/>
      <c r="E165" s="131"/>
      <c r="F165" s="208"/>
      <c r="G165" s="191">
        <v>26.4</v>
      </c>
      <c r="H165" s="191">
        <v>0.15</v>
      </c>
      <c r="I165" s="191">
        <v>0.3</v>
      </c>
      <c r="J165" s="214">
        <f t="shared" si="17"/>
        <v>1.19</v>
      </c>
      <c r="K165" s="369" t="s">
        <v>581</v>
      </c>
    </row>
    <row r="166" spans="2:11" outlineLevel="1">
      <c r="B166" s="160"/>
      <c r="C166" s="226"/>
      <c r="D166" s="227"/>
      <c r="E166" s="131"/>
      <c r="F166" s="208"/>
      <c r="G166" s="191">
        <v>63.4</v>
      </c>
      <c r="H166" s="191">
        <v>0.15</v>
      </c>
      <c r="I166" s="191">
        <v>0.3</v>
      </c>
      <c r="J166" s="214">
        <f t="shared" ref="J166" si="18">ROUND(I166*H166*G166,2)</f>
        <v>2.85</v>
      </c>
      <c r="K166" s="369" t="s">
        <v>580</v>
      </c>
    </row>
    <row r="167" spans="2:11" outlineLevel="1">
      <c r="B167" s="160"/>
      <c r="C167" s="226"/>
      <c r="D167" s="227"/>
      <c r="E167" s="131"/>
      <c r="F167" s="208"/>
      <c r="G167" s="191">
        <v>66.09</v>
      </c>
      <c r="H167" s="191">
        <v>0.15</v>
      </c>
      <c r="I167" s="191">
        <v>0.3</v>
      </c>
      <c r="J167" s="214">
        <f t="shared" ref="J167" si="19">ROUND(I167*H167*G167,2)</f>
        <v>2.97</v>
      </c>
      <c r="K167" s="369" t="s">
        <v>589</v>
      </c>
    </row>
    <row r="168" spans="2:11" ht="13" outlineLevel="1">
      <c r="B168" s="160"/>
      <c r="C168" s="226"/>
      <c r="D168" s="227"/>
      <c r="E168" s="131"/>
      <c r="F168" s="208"/>
      <c r="G168" s="191"/>
      <c r="H168" s="191"/>
      <c r="I168" s="193" t="s">
        <v>529</v>
      </c>
      <c r="J168" s="489">
        <f>SUM(J164:J167)</f>
        <v>8.8000000000000007</v>
      </c>
      <c r="K168" s="369"/>
    </row>
    <row r="169" spans="2:11" outlineLevel="1">
      <c r="B169" s="161"/>
      <c r="C169" s="244"/>
      <c r="D169" s="245"/>
      <c r="E169" s="138"/>
      <c r="F169" s="209"/>
      <c r="G169" s="197"/>
      <c r="H169" s="197"/>
      <c r="I169" s="197"/>
      <c r="J169" s="215"/>
      <c r="K169" s="457"/>
    </row>
    <row r="170" spans="2:11" ht="13" outlineLevel="1">
      <c r="B170" s="249" t="s">
        <v>13</v>
      </c>
      <c r="C170" s="250"/>
      <c r="D170" s="250"/>
      <c r="E170" s="251" t="s">
        <v>84</v>
      </c>
      <c r="F170" s="252"/>
      <c r="G170" s="253"/>
      <c r="H170" s="254"/>
      <c r="I170" s="254"/>
      <c r="J170" s="253"/>
      <c r="K170" s="255"/>
    </row>
    <row r="171" spans="2:11" outlineLevel="1">
      <c r="B171" s="163" t="s">
        <v>117</v>
      </c>
      <c r="C171" s="150">
        <v>92271</v>
      </c>
      <c r="D171" s="164" t="s">
        <v>41</v>
      </c>
      <c r="E171" s="151" t="s">
        <v>299</v>
      </c>
      <c r="F171" s="216"/>
      <c r="G171" s="247"/>
      <c r="H171" s="241"/>
      <c r="I171" s="199"/>
      <c r="J171" s="247" t="s">
        <v>316</v>
      </c>
      <c r="K171" s="147" t="s">
        <v>583</v>
      </c>
    </row>
    <row r="172" spans="2:11" outlineLevel="1">
      <c r="B172" s="159"/>
      <c r="C172" s="153"/>
      <c r="D172" s="155"/>
      <c r="E172" s="154"/>
      <c r="F172" s="297"/>
      <c r="G172" s="485"/>
      <c r="H172" s="497"/>
      <c r="I172" s="262"/>
      <c r="J172" s="485">
        <v>38.4</v>
      </c>
      <c r="K172" s="460" t="s">
        <v>575</v>
      </c>
    </row>
    <row r="173" spans="2:11" outlineLevel="1">
      <c r="B173" s="159"/>
      <c r="C173" s="153"/>
      <c r="D173" s="155"/>
      <c r="E173" s="154"/>
      <c r="F173" s="297"/>
      <c r="G173" s="485"/>
      <c r="H173" s="497"/>
      <c r="I173" s="262"/>
      <c r="J173" s="485">
        <v>12.6</v>
      </c>
      <c r="K173" s="460" t="s">
        <v>649</v>
      </c>
    </row>
    <row r="174" spans="2:11" outlineLevel="1">
      <c r="B174" s="159"/>
      <c r="C174" s="153"/>
      <c r="D174" s="155"/>
      <c r="E174" s="154"/>
      <c r="F174" s="297"/>
      <c r="G174" s="485"/>
      <c r="H174" s="497"/>
      <c r="I174" s="262"/>
      <c r="J174" s="485">
        <v>12.6</v>
      </c>
      <c r="K174" s="460" t="s">
        <v>577</v>
      </c>
    </row>
    <row r="175" spans="2:11" ht="13" outlineLevel="1">
      <c r="B175" s="159"/>
      <c r="C175" s="153"/>
      <c r="D175" s="155"/>
      <c r="E175" s="154"/>
      <c r="F175" s="297"/>
      <c r="G175" s="485"/>
      <c r="H175" s="262"/>
      <c r="I175" s="472" t="s">
        <v>529</v>
      </c>
      <c r="J175" s="490">
        <f>SUM(J172:J174)</f>
        <v>63.6</v>
      </c>
      <c r="K175" s="143"/>
    </row>
    <row r="176" spans="2:11" outlineLevel="1">
      <c r="B176" s="491"/>
      <c r="C176" s="492"/>
      <c r="D176" s="493"/>
      <c r="E176" s="494"/>
      <c r="F176" s="495"/>
      <c r="G176" s="233"/>
      <c r="H176" s="496"/>
      <c r="I176" s="496"/>
      <c r="J176" s="233"/>
      <c r="K176" s="237"/>
    </row>
    <row r="177" spans="2:11" ht="25" outlineLevel="1">
      <c r="B177" s="163" t="s">
        <v>118</v>
      </c>
      <c r="C177" s="150">
        <v>92882</v>
      </c>
      <c r="D177" s="164" t="s">
        <v>41</v>
      </c>
      <c r="E177" s="151" t="s">
        <v>304</v>
      </c>
      <c r="F177" s="216" t="s">
        <v>592</v>
      </c>
      <c r="G177" s="65" t="s">
        <v>586</v>
      </c>
      <c r="H177" s="241" t="s">
        <v>585</v>
      </c>
      <c r="I177" s="199" t="s">
        <v>587</v>
      </c>
      <c r="J177" s="247" t="s">
        <v>309</v>
      </c>
      <c r="K177" s="147"/>
    </row>
    <row r="178" spans="2:11" outlineLevel="1">
      <c r="B178" s="159"/>
      <c r="C178" s="153"/>
      <c r="D178" s="155"/>
      <c r="E178" s="154"/>
      <c r="F178" s="498">
        <v>5.2</v>
      </c>
      <c r="G178" s="129">
        <f>F178/0.2*G192</f>
        <v>208</v>
      </c>
      <c r="H178" s="499">
        <v>1.44</v>
      </c>
      <c r="I178" s="191">
        <v>0.245</v>
      </c>
      <c r="J178" s="485">
        <f>ROUND(I178*H178*G178*F178,2)</f>
        <v>381.59</v>
      </c>
      <c r="K178" s="460" t="s">
        <v>575</v>
      </c>
    </row>
    <row r="179" spans="2:11" outlineLevel="1">
      <c r="B179" s="159"/>
      <c r="C179" s="153"/>
      <c r="D179" s="155"/>
      <c r="E179" s="154"/>
      <c r="F179" s="498">
        <v>3</v>
      </c>
      <c r="G179" s="129">
        <f>F179/0.2*G193</f>
        <v>120</v>
      </c>
      <c r="H179" s="499">
        <v>1.44</v>
      </c>
      <c r="I179" s="191">
        <v>0.245</v>
      </c>
      <c r="J179" s="485">
        <f t="shared" ref="J179:J181" si="20">ROUND(I179*H179*G179*F179,2)</f>
        <v>127.01</v>
      </c>
      <c r="K179" s="460" t="s">
        <v>575</v>
      </c>
    </row>
    <row r="180" spans="2:11" outlineLevel="1">
      <c r="B180" s="159"/>
      <c r="C180" s="153"/>
      <c r="D180" s="155"/>
      <c r="E180" s="154"/>
      <c r="F180" s="498">
        <v>4.5</v>
      </c>
      <c r="G180" s="129">
        <f>F180/0.2*G194</f>
        <v>495</v>
      </c>
      <c r="H180" s="499">
        <v>0.74</v>
      </c>
      <c r="I180" s="191">
        <v>0.245</v>
      </c>
      <c r="J180" s="485">
        <f t="shared" si="20"/>
        <v>403.85</v>
      </c>
      <c r="K180" s="460" t="s">
        <v>576</v>
      </c>
    </row>
    <row r="181" spans="2:11" outlineLevel="1">
      <c r="B181" s="160"/>
      <c r="C181" s="130"/>
      <c r="D181" s="132"/>
      <c r="E181" s="131"/>
      <c r="F181" s="498">
        <v>7.5</v>
      </c>
      <c r="G181" s="129">
        <f>F181/0.2*G195</f>
        <v>262.5</v>
      </c>
      <c r="H181" s="191">
        <v>0.74</v>
      </c>
      <c r="I181" s="191">
        <v>0.245</v>
      </c>
      <c r="J181" s="485">
        <f t="shared" si="20"/>
        <v>356.93</v>
      </c>
      <c r="K181" s="460" t="s">
        <v>577</v>
      </c>
    </row>
    <row r="182" spans="2:11" ht="13" outlineLevel="1">
      <c r="B182" s="160"/>
      <c r="C182" s="130"/>
      <c r="D182" s="132"/>
      <c r="E182" s="131"/>
      <c r="F182" s="208"/>
      <c r="G182" s="225"/>
      <c r="H182" s="191"/>
      <c r="I182" s="193" t="s">
        <v>529</v>
      </c>
      <c r="J182" s="489">
        <f>SUM(J178:J181)</f>
        <v>1269.3800000000001</v>
      </c>
      <c r="K182" s="134"/>
    </row>
    <row r="183" spans="2:11" outlineLevel="1">
      <c r="B183" s="161"/>
      <c r="C183" s="137"/>
      <c r="D183" s="162"/>
      <c r="E183" s="138"/>
      <c r="F183" s="209"/>
      <c r="G183" s="248"/>
      <c r="H183" s="197"/>
      <c r="I183" s="197"/>
      <c r="J183" s="248"/>
      <c r="K183" s="139"/>
    </row>
    <row r="184" spans="2:11" ht="19.5" customHeight="1" outlineLevel="1">
      <c r="B184" s="163" t="s">
        <v>119</v>
      </c>
      <c r="C184" s="150">
        <v>92884</v>
      </c>
      <c r="D184" s="164" t="s">
        <v>41</v>
      </c>
      <c r="E184" s="151" t="s">
        <v>302</v>
      </c>
      <c r="F184" s="216" t="s">
        <v>591</v>
      </c>
      <c r="G184" s="241" t="s">
        <v>590</v>
      </c>
      <c r="H184" s="247" t="s">
        <v>33</v>
      </c>
      <c r="I184" s="199" t="s">
        <v>587</v>
      </c>
      <c r="J184" s="247" t="s">
        <v>309</v>
      </c>
      <c r="K184" s="147"/>
    </row>
    <row r="185" spans="2:11" outlineLevel="1">
      <c r="B185" s="159"/>
      <c r="C185" s="153"/>
      <c r="D185" s="155"/>
      <c r="E185" s="154"/>
      <c r="F185" s="191">
        <v>2</v>
      </c>
      <c r="G185" s="497">
        <v>3.2</v>
      </c>
      <c r="H185" s="485">
        <f>8*6</f>
        <v>48</v>
      </c>
      <c r="I185" s="262">
        <v>0.61699999999999999</v>
      </c>
      <c r="J185" s="214">
        <f>(F185+G185)*ROUND(H185*I185,2)</f>
        <v>154.024</v>
      </c>
      <c r="K185" s="460" t="s">
        <v>575</v>
      </c>
    </row>
    <row r="186" spans="2:11" outlineLevel="1">
      <c r="B186" s="159"/>
      <c r="C186" s="153"/>
      <c r="D186" s="155"/>
      <c r="E186" s="154"/>
      <c r="F186" s="191">
        <v>2</v>
      </c>
      <c r="G186" s="497">
        <v>1</v>
      </c>
      <c r="H186" s="485">
        <f>8*6</f>
        <v>48</v>
      </c>
      <c r="I186" s="262">
        <v>0.61699999999999999</v>
      </c>
      <c r="J186" s="214">
        <f t="shared" ref="J186:J188" si="21">(F186+G186)*ROUND(H186*I186,2)</f>
        <v>88.86</v>
      </c>
      <c r="K186" s="460" t="s">
        <v>575</v>
      </c>
    </row>
    <row r="187" spans="2:11" outlineLevel="1">
      <c r="B187" s="159"/>
      <c r="C187" s="153"/>
      <c r="D187" s="155"/>
      <c r="E187" s="154"/>
      <c r="F187" s="191">
        <v>1.5</v>
      </c>
      <c r="G187" s="497">
        <v>3</v>
      </c>
      <c r="H187" s="485">
        <v>60</v>
      </c>
      <c r="I187" s="262">
        <v>0.61699999999999999</v>
      </c>
      <c r="J187" s="214">
        <f t="shared" si="21"/>
        <v>166.59</v>
      </c>
      <c r="K187" s="460" t="s">
        <v>576</v>
      </c>
    </row>
    <row r="188" spans="2:11" outlineLevel="1">
      <c r="B188" s="160"/>
      <c r="C188" s="130"/>
      <c r="D188" s="132"/>
      <c r="E188" s="131"/>
      <c r="F188" s="191">
        <v>1.5</v>
      </c>
      <c r="G188" s="225">
        <v>6</v>
      </c>
      <c r="H188" s="191">
        <v>30</v>
      </c>
      <c r="I188" s="262">
        <v>0.61699999999999999</v>
      </c>
      <c r="J188" s="214">
        <f t="shared" si="21"/>
        <v>138.82500000000002</v>
      </c>
      <c r="K188" s="460" t="s">
        <v>577</v>
      </c>
    </row>
    <row r="189" spans="2:11" ht="13" outlineLevel="1">
      <c r="B189" s="160"/>
      <c r="C189" s="130"/>
      <c r="D189" s="132"/>
      <c r="E189" s="131"/>
      <c r="F189" s="208"/>
      <c r="G189" s="225"/>
      <c r="H189" s="191"/>
      <c r="I189" s="193" t="s">
        <v>529</v>
      </c>
      <c r="J189" s="489">
        <f>SUM(J185:J188)</f>
        <v>548.29900000000009</v>
      </c>
      <c r="K189" s="369"/>
    </row>
    <row r="190" spans="2:11" outlineLevel="1">
      <c r="B190" s="161"/>
      <c r="C190" s="137"/>
      <c r="D190" s="162"/>
      <c r="E190" s="138"/>
      <c r="F190" s="209"/>
      <c r="G190" s="248"/>
      <c r="H190" s="197"/>
      <c r="I190" s="197"/>
      <c r="J190" s="248"/>
      <c r="K190" s="139"/>
    </row>
    <row r="191" spans="2:11" ht="25" outlineLevel="1">
      <c r="B191" s="163" t="s">
        <v>218</v>
      </c>
      <c r="C191" s="239">
        <v>103674</v>
      </c>
      <c r="D191" s="240" t="s">
        <v>41</v>
      </c>
      <c r="E191" s="151" t="s">
        <v>305</v>
      </c>
      <c r="F191" s="216" t="s">
        <v>592</v>
      </c>
      <c r="G191" s="247" t="s">
        <v>33</v>
      </c>
      <c r="H191" s="199" t="s">
        <v>525</v>
      </c>
      <c r="I191" s="199" t="s">
        <v>525</v>
      </c>
      <c r="J191" s="241" t="s">
        <v>319</v>
      </c>
      <c r="K191" s="147"/>
    </row>
    <row r="192" spans="2:11" outlineLevel="1">
      <c r="B192" s="159"/>
      <c r="C192" s="357"/>
      <c r="D192" s="261"/>
      <c r="E192" s="154"/>
      <c r="F192" s="498">
        <f>F185+G185</f>
        <v>5.2</v>
      </c>
      <c r="G192" s="497">
        <v>8</v>
      </c>
      <c r="H192" s="262">
        <v>0.3</v>
      </c>
      <c r="I192" s="262">
        <v>0.5</v>
      </c>
      <c r="J192" s="497">
        <f>ROUND(I192*H192*G192*F192,2)</f>
        <v>6.24</v>
      </c>
      <c r="K192" s="460" t="s">
        <v>575</v>
      </c>
    </row>
    <row r="193" spans="2:11" outlineLevel="1">
      <c r="B193" s="159"/>
      <c r="C193" s="357"/>
      <c r="D193" s="261"/>
      <c r="E193" s="154"/>
      <c r="F193" s="498">
        <f>F186+G186</f>
        <v>3</v>
      </c>
      <c r="G193" s="497">
        <v>8</v>
      </c>
      <c r="H193" s="262">
        <v>0.3</v>
      </c>
      <c r="I193" s="262">
        <v>0.5</v>
      </c>
      <c r="J193" s="497">
        <f t="shared" ref="J193:J196" si="22">ROUND(I193*H193*G193*F193,2)</f>
        <v>3.6</v>
      </c>
      <c r="K193" s="460" t="s">
        <v>575</v>
      </c>
    </row>
    <row r="194" spans="2:11" outlineLevel="1">
      <c r="B194" s="159"/>
      <c r="C194" s="357"/>
      <c r="D194" s="261"/>
      <c r="E194" s="154"/>
      <c r="F194" s="498">
        <f>F187+G187</f>
        <v>4.5</v>
      </c>
      <c r="G194" s="497">
        <v>22</v>
      </c>
      <c r="H194" s="262">
        <v>0.3</v>
      </c>
      <c r="I194" s="262">
        <v>0.15</v>
      </c>
      <c r="J194" s="497">
        <f t="shared" si="22"/>
        <v>4.46</v>
      </c>
      <c r="K194" s="460" t="s">
        <v>576</v>
      </c>
    </row>
    <row r="195" spans="2:11" outlineLevel="1">
      <c r="B195" s="160"/>
      <c r="C195" s="226"/>
      <c r="D195" s="227"/>
      <c r="E195" s="131"/>
      <c r="F195" s="498">
        <f>F188+G188</f>
        <v>7.5</v>
      </c>
      <c r="G195" s="225">
        <v>7</v>
      </c>
      <c r="H195" s="191">
        <v>0.3</v>
      </c>
      <c r="I195" s="191">
        <v>0.15</v>
      </c>
      <c r="J195" s="497">
        <f t="shared" si="22"/>
        <v>2.36</v>
      </c>
      <c r="K195" s="460" t="s">
        <v>577</v>
      </c>
    </row>
    <row r="196" spans="2:11" outlineLevel="1">
      <c r="B196" s="160"/>
      <c r="C196" s="226"/>
      <c r="D196" s="227"/>
      <c r="E196" s="131"/>
      <c r="F196" s="498">
        <v>2</v>
      </c>
      <c r="G196" s="225">
        <v>14</v>
      </c>
      <c r="H196" s="191">
        <v>0.15</v>
      </c>
      <c r="I196" s="191">
        <v>0.12</v>
      </c>
      <c r="J196" s="497">
        <f t="shared" si="22"/>
        <v>0.5</v>
      </c>
      <c r="K196" s="460" t="s">
        <v>648</v>
      </c>
    </row>
    <row r="197" spans="2:11" ht="13" outlineLevel="1">
      <c r="B197" s="160"/>
      <c r="C197" s="226"/>
      <c r="D197" s="227"/>
      <c r="E197" s="131"/>
      <c r="F197" s="208"/>
      <c r="G197" s="225"/>
      <c r="H197" s="191"/>
      <c r="I197" s="193" t="s">
        <v>529</v>
      </c>
      <c r="J197" s="489">
        <f>SUM(J192:J196)</f>
        <v>17.16</v>
      </c>
      <c r="K197" s="134"/>
    </row>
    <row r="198" spans="2:11" outlineLevel="1">
      <c r="B198" s="161"/>
      <c r="C198" s="244"/>
      <c r="D198" s="245"/>
      <c r="E198" s="138"/>
      <c r="F198" s="209"/>
      <c r="G198" s="248"/>
      <c r="H198" s="197"/>
      <c r="I198" s="197"/>
      <c r="J198" s="248"/>
      <c r="K198" s="139"/>
    </row>
    <row r="199" spans="2:11" ht="25" outlineLevel="1">
      <c r="B199" s="163" t="s">
        <v>219</v>
      </c>
      <c r="C199" s="240">
        <v>101964</v>
      </c>
      <c r="D199" s="240" t="s">
        <v>41</v>
      </c>
      <c r="E199" s="151" t="s">
        <v>308</v>
      </c>
      <c r="F199" s="216"/>
      <c r="G199" s="247"/>
      <c r="H199" s="241" t="s">
        <v>524</v>
      </c>
      <c r="I199" s="199" t="s">
        <v>525</v>
      </c>
      <c r="J199" s="247" t="s">
        <v>316</v>
      </c>
      <c r="K199" s="147"/>
    </row>
    <row r="200" spans="2:11" outlineLevel="1">
      <c r="B200" s="160"/>
      <c r="C200" s="227"/>
      <c r="D200" s="227"/>
      <c r="E200" s="131"/>
      <c r="F200" s="208"/>
      <c r="G200" s="225"/>
      <c r="H200" s="262">
        <v>20.5</v>
      </c>
      <c r="I200" s="262">
        <v>4.1500000000000004</v>
      </c>
      <c r="J200" s="485">
        <f>ROUND(I200*H200,2)</f>
        <v>85.08</v>
      </c>
      <c r="K200" s="369" t="s">
        <v>581</v>
      </c>
    </row>
    <row r="201" spans="2:11" ht="13" outlineLevel="1">
      <c r="B201" s="160"/>
      <c r="C201" s="227"/>
      <c r="D201" s="227"/>
      <c r="E201" s="131"/>
      <c r="F201" s="208"/>
      <c r="G201" s="225"/>
      <c r="H201" s="262"/>
      <c r="I201" s="472" t="s">
        <v>529</v>
      </c>
      <c r="J201" s="490">
        <f>SUM(J200)</f>
        <v>85.08</v>
      </c>
      <c r="K201" s="143"/>
    </row>
    <row r="202" spans="2:11" outlineLevel="1">
      <c r="B202" s="161"/>
      <c r="C202" s="245"/>
      <c r="D202" s="245"/>
      <c r="E202" s="138"/>
      <c r="F202" s="209"/>
      <c r="G202" s="248"/>
      <c r="H202" s="197"/>
      <c r="I202" s="197"/>
      <c r="J202" s="248"/>
      <c r="K202" s="139"/>
    </row>
    <row r="203" spans="2:11" ht="20.149999999999999" customHeight="1" outlineLevel="1">
      <c r="B203" s="500" t="s">
        <v>31</v>
      </c>
      <c r="C203" s="150"/>
      <c r="D203" s="164"/>
      <c r="E203" s="501" t="s">
        <v>274</v>
      </c>
      <c r="F203" s="502"/>
      <c r="G203" s="247"/>
      <c r="H203" s="199"/>
      <c r="I203" s="199"/>
      <c r="J203" s="247"/>
      <c r="K203" s="147"/>
    </row>
    <row r="204" spans="2:11" outlineLevel="1">
      <c r="B204" s="160" t="s">
        <v>120</v>
      </c>
      <c r="C204" s="130">
        <v>92271</v>
      </c>
      <c r="D204" s="132" t="s">
        <v>41</v>
      </c>
      <c r="E204" s="131" t="s">
        <v>299</v>
      </c>
      <c r="F204" s="208"/>
      <c r="G204" s="225"/>
      <c r="H204" s="191"/>
      <c r="I204" s="191"/>
      <c r="J204" s="225" t="s">
        <v>316</v>
      </c>
      <c r="K204" s="369"/>
    </row>
    <row r="205" spans="2:11" outlineLevel="1">
      <c r="B205" s="160"/>
      <c r="C205" s="130"/>
      <c r="D205" s="132"/>
      <c r="E205" s="131"/>
      <c r="F205" s="208"/>
      <c r="G205" s="225"/>
      <c r="H205" s="191"/>
      <c r="I205" s="191"/>
      <c r="J205" s="225">
        <v>48.33</v>
      </c>
      <c r="K205" s="369" t="s">
        <v>599</v>
      </c>
    </row>
    <row r="206" spans="2:11" ht="13" outlineLevel="1">
      <c r="B206" s="160"/>
      <c r="C206" s="130"/>
      <c r="D206" s="132"/>
      <c r="E206" s="131"/>
      <c r="F206" s="208"/>
      <c r="G206" s="225"/>
      <c r="H206" s="191"/>
      <c r="I206" s="472" t="s">
        <v>529</v>
      </c>
      <c r="J206" s="490">
        <f>SUM(J205)</f>
        <v>48.33</v>
      </c>
      <c r="K206" s="369"/>
    </row>
    <row r="207" spans="2:11" outlineLevel="1">
      <c r="B207" s="305"/>
      <c r="C207" s="275"/>
      <c r="D207" s="306"/>
      <c r="E207" s="307"/>
      <c r="F207" s="308"/>
      <c r="G207" s="476"/>
      <c r="H207" s="202"/>
      <c r="I207" s="202"/>
      <c r="J207" s="476"/>
      <c r="K207" s="459"/>
    </row>
    <row r="208" spans="2:11" outlineLevel="1">
      <c r="B208" s="163" t="s">
        <v>121</v>
      </c>
      <c r="C208" s="150">
        <v>92882</v>
      </c>
      <c r="D208" s="164" t="s">
        <v>41</v>
      </c>
      <c r="E208" s="151" t="s">
        <v>304</v>
      </c>
      <c r="F208" s="216"/>
      <c r="G208" s="247"/>
      <c r="H208" s="199"/>
      <c r="I208" s="199"/>
      <c r="J208" s="247" t="s">
        <v>309</v>
      </c>
      <c r="K208" s="458"/>
    </row>
    <row r="209" spans="2:11" outlineLevel="1">
      <c r="B209" s="160"/>
      <c r="C209" s="130"/>
      <c r="D209" s="132"/>
      <c r="E209" s="131"/>
      <c r="F209" s="208"/>
      <c r="G209" s="225"/>
      <c r="H209" s="191"/>
      <c r="I209" s="191"/>
      <c r="J209" s="225">
        <v>80</v>
      </c>
      <c r="K209" s="369"/>
    </row>
    <row r="210" spans="2:11" ht="13" outlineLevel="1">
      <c r="B210" s="160"/>
      <c r="C210" s="130"/>
      <c r="D210" s="132"/>
      <c r="E210" s="131"/>
      <c r="F210" s="208"/>
      <c r="G210" s="225"/>
      <c r="H210" s="191"/>
      <c r="I210" s="472" t="s">
        <v>529</v>
      </c>
      <c r="J210" s="490">
        <f>SUM(J209)</f>
        <v>80</v>
      </c>
      <c r="K210" s="369"/>
    </row>
    <row r="211" spans="2:11" outlineLevel="1">
      <c r="B211" s="161"/>
      <c r="C211" s="137"/>
      <c r="D211" s="162"/>
      <c r="E211" s="138"/>
      <c r="F211" s="209"/>
      <c r="G211" s="248"/>
      <c r="H211" s="197"/>
      <c r="I211" s="197"/>
      <c r="J211" s="248"/>
      <c r="K211" s="457"/>
    </row>
    <row r="212" spans="2:11" outlineLevel="1">
      <c r="B212" s="163" t="s">
        <v>122</v>
      </c>
      <c r="C212" s="150">
        <v>92884</v>
      </c>
      <c r="D212" s="164" t="s">
        <v>41</v>
      </c>
      <c r="E212" s="151" t="s">
        <v>302</v>
      </c>
      <c r="F212" s="216"/>
      <c r="G212" s="247"/>
      <c r="H212" s="199"/>
      <c r="I212" s="199"/>
      <c r="J212" s="247" t="s">
        <v>309</v>
      </c>
      <c r="K212" s="458"/>
    </row>
    <row r="213" spans="2:11" outlineLevel="1">
      <c r="B213" s="160"/>
      <c r="C213" s="130"/>
      <c r="D213" s="132"/>
      <c r="E213" s="131"/>
      <c r="F213" s="208"/>
      <c r="G213" s="225"/>
      <c r="H213" s="191"/>
      <c r="I213" s="191"/>
      <c r="J213" s="225">
        <v>200</v>
      </c>
      <c r="K213" s="369"/>
    </row>
    <row r="214" spans="2:11" ht="13" outlineLevel="1">
      <c r="B214" s="160"/>
      <c r="C214" s="130"/>
      <c r="D214" s="132"/>
      <c r="E214" s="131"/>
      <c r="F214" s="208"/>
      <c r="G214" s="225"/>
      <c r="H214" s="191"/>
      <c r="I214" s="472" t="s">
        <v>529</v>
      </c>
      <c r="J214" s="490">
        <f>SUM(J213)</f>
        <v>200</v>
      </c>
      <c r="K214" s="369"/>
    </row>
    <row r="215" spans="2:11" outlineLevel="1">
      <c r="B215" s="161"/>
      <c r="C215" s="137"/>
      <c r="D215" s="162"/>
      <c r="E215" s="138"/>
      <c r="F215" s="209"/>
      <c r="G215" s="248"/>
      <c r="H215" s="197"/>
      <c r="I215" s="197"/>
      <c r="J215" s="248"/>
      <c r="K215" s="457"/>
    </row>
    <row r="216" spans="2:11" ht="37.5" outlineLevel="1">
      <c r="B216" s="163" t="s">
        <v>123</v>
      </c>
      <c r="C216" s="239">
        <v>103184</v>
      </c>
      <c r="D216" s="240" t="s">
        <v>41</v>
      </c>
      <c r="E216" s="151" t="s">
        <v>306</v>
      </c>
      <c r="F216" s="216"/>
      <c r="G216" s="247"/>
      <c r="H216" s="199"/>
      <c r="I216" s="199"/>
      <c r="J216" s="247" t="s">
        <v>319</v>
      </c>
      <c r="K216" s="458"/>
    </row>
    <row r="217" spans="2:11" outlineLevel="1">
      <c r="B217" s="160"/>
      <c r="C217" s="226"/>
      <c r="D217" s="227"/>
      <c r="E217" s="131"/>
      <c r="F217" s="208"/>
      <c r="G217" s="225"/>
      <c r="H217" s="191"/>
      <c r="I217" s="191"/>
      <c r="J217" s="225">
        <v>16.739999999999998</v>
      </c>
      <c r="K217" s="369"/>
    </row>
    <row r="218" spans="2:11" ht="13" outlineLevel="1">
      <c r="B218" s="160"/>
      <c r="C218" s="226"/>
      <c r="D218" s="227"/>
      <c r="E218" s="131"/>
      <c r="F218" s="208"/>
      <c r="G218" s="225"/>
      <c r="H218" s="191"/>
      <c r="I218" s="472" t="s">
        <v>529</v>
      </c>
      <c r="J218" s="490">
        <f>SUM(J217)</f>
        <v>16.739999999999998</v>
      </c>
      <c r="K218" s="369"/>
    </row>
    <row r="219" spans="2:11" outlineLevel="1">
      <c r="B219" s="161"/>
      <c r="C219" s="244"/>
      <c r="D219" s="245"/>
      <c r="E219" s="138"/>
      <c r="F219" s="209"/>
      <c r="G219" s="248"/>
      <c r="H219" s="197"/>
      <c r="I219" s="197"/>
      <c r="J219" s="248"/>
      <c r="K219" s="457"/>
    </row>
    <row r="220" spans="2:11" ht="13" outlineLevel="1">
      <c r="B220" s="500" t="s">
        <v>68</v>
      </c>
      <c r="C220" s="150"/>
      <c r="D220" s="164"/>
      <c r="E220" s="501" t="s">
        <v>273</v>
      </c>
      <c r="F220" s="502"/>
      <c r="G220" s="247"/>
      <c r="H220" s="199"/>
      <c r="I220" s="199"/>
      <c r="J220" s="247"/>
      <c r="K220" s="458"/>
    </row>
    <row r="221" spans="2:11" outlineLevel="1">
      <c r="B221" s="160" t="s">
        <v>124</v>
      </c>
      <c r="C221" s="130">
        <v>92271</v>
      </c>
      <c r="D221" s="132" t="s">
        <v>41</v>
      </c>
      <c r="E221" s="131" t="s">
        <v>299</v>
      </c>
      <c r="F221" s="208"/>
      <c r="G221" s="225"/>
      <c r="H221" s="191"/>
      <c r="I221" s="191"/>
      <c r="J221" s="225" t="s">
        <v>316</v>
      </c>
      <c r="K221" s="369"/>
    </row>
    <row r="222" spans="2:11" outlineLevel="1">
      <c r="B222" s="160"/>
      <c r="C222" s="130"/>
      <c r="D222" s="132"/>
      <c r="E222" s="131"/>
      <c r="F222" s="208"/>
      <c r="G222" s="225"/>
      <c r="H222" s="191"/>
      <c r="I222" s="191"/>
      <c r="J222" s="225">
        <v>15.57</v>
      </c>
      <c r="K222" s="369"/>
    </row>
    <row r="223" spans="2:11" ht="13" outlineLevel="1">
      <c r="B223" s="160"/>
      <c r="C223" s="130"/>
      <c r="D223" s="132"/>
      <c r="E223" s="131"/>
      <c r="F223" s="208"/>
      <c r="G223" s="225"/>
      <c r="H223" s="191"/>
      <c r="I223" s="472" t="s">
        <v>529</v>
      </c>
      <c r="J223" s="490">
        <f>SUM(J222)</f>
        <v>15.57</v>
      </c>
      <c r="K223" s="369"/>
    </row>
    <row r="224" spans="2:11" outlineLevel="1">
      <c r="B224" s="161"/>
      <c r="C224" s="137"/>
      <c r="D224" s="162"/>
      <c r="E224" s="138"/>
      <c r="F224" s="209"/>
      <c r="G224" s="248"/>
      <c r="H224" s="197"/>
      <c r="I224" s="197"/>
      <c r="J224" s="248"/>
      <c r="K224" s="457"/>
    </row>
    <row r="225" spans="2:11" ht="25" outlineLevel="1">
      <c r="B225" s="163" t="s">
        <v>125</v>
      </c>
      <c r="C225" s="150">
        <v>97088</v>
      </c>
      <c r="D225" s="164" t="s">
        <v>41</v>
      </c>
      <c r="E225" s="151" t="s">
        <v>310</v>
      </c>
      <c r="F225" s="216"/>
      <c r="G225" s="247"/>
      <c r="H225" s="199" t="s">
        <v>597</v>
      </c>
      <c r="I225" s="199" t="s">
        <v>316</v>
      </c>
      <c r="J225" s="247" t="s">
        <v>309</v>
      </c>
      <c r="K225" s="458"/>
    </row>
    <row r="226" spans="2:11" outlineLevel="1">
      <c r="B226" s="160"/>
      <c r="C226" s="130"/>
      <c r="D226" s="132"/>
      <c r="E226" s="131"/>
      <c r="F226" s="208"/>
      <c r="G226" s="225"/>
      <c r="H226" s="191">
        <v>1.48</v>
      </c>
      <c r="I226" s="191">
        <v>604</v>
      </c>
      <c r="J226" s="485">
        <f>ROUND(I226*H226,2)</f>
        <v>893.92</v>
      </c>
      <c r="K226" s="369"/>
    </row>
    <row r="227" spans="2:11" ht="13" outlineLevel="1">
      <c r="B227" s="160"/>
      <c r="C227" s="130"/>
      <c r="D227" s="132"/>
      <c r="E227" s="131"/>
      <c r="F227" s="208"/>
      <c r="G227" s="225"/>
      <c r="H227" s="191"/>
      <c r="I227" s="472" t="s">
        <v>529</v>
      </c>
      <c r="J227" s="490">
        <f>SUM(J226)</f>
        <v>893.92</v>
      </c>
      <c r="K227" s="134"/>
    </row>
    <row r="228" spans="2:11" outlineLevel="1">
      <c r="B228" s="161"/>
      <c r="C228" s="137"/>
      <c r="D228" s="162"/>
      <c r="E228" s="138"/>
      <c r="F228" s="209"/>
      <c r="G228" s="248"/>
      <c r="H228" s="197"/>
      <c r="I228" s="197"/>
      <c r="J228" s="248"/>
      <c r="K228" s="139"/>
    </row>
    <row r="229" spans="2:11" ht="25" outlineLevel="1">
      <c r="B229" s="163" t="s">
        <v>126</v>
      </c>
      <c r="C229" s="239">
        <v>103675</v>
      </c>
      <c r="D229" s="240" t="s">
        <v>41</v>
      </c>
      <c r="E229" s="151" t="s">
        <v>307</v>
      </c>
      <c r="F229" s="216"/>
      <c r="G229" s="247"/>
      <c r="H229" s="199" t="s">
        <v>316</v>
      </c>
      <c r="I229" s="199" t="s">
        <v>532</v>
      </c>
      <c r="J229" s="247" t="s">
        <v>319</v>
      </c>
      <c r="K229" s="147"/>
    </row>
    <row r="230" spans="2:11" outlineLevel="1">
      <c r="B230" s="160"/>
      <c r="C230" s="226"/>
      <c r="D230" s="227"/>
      <c r="E230" s="131"/>
      <c r="F230" s="208"/>
      <c r="G230" s="225"/>
      <c r="H230" s="191">
        <v>604</v>
      </c>
      <c r="I230" s="191">
        <v>0.08</v>
      </c>
      <c r="J230" s="485">
        <f>ROUND(I230*H230,2)</f>
        <v>48.32</v>
      </c>
      <c r="K230" s="134"/>
    </row>
    <row r="231" spans="2:11" ht="13" outlineLevel="1">
      <c r="B231" s="160"/>
      <c r="C231" s="226"/>
      <c r="D231" s="227"/>
      <c r="E231" s="131"/>
      <c r="F231" s="208"/>
      <c r="G231" s="225"/>
      <c r="H231" s="191"/>
      <c r="I231" s="472" t="s">
        <v>529</v>
      </c>
      <c r="J231" s="490">
        <f>SUM(J230)</f>
        <v>48.32</v>
      </c>
      <c r="K231" s="134"/>
    </row>
    <row r="232" spans="2:11" outlineLevel="1">
      <c r="B232" s="161"/>
      <c r="C232" s="244"/>
      <c r="D232" s="245"/>
      <c r="E232" s="138"/>
      <c r="F232" s="209"/>
      <c r="G232" s="248"/>
      <c r="H232" s="197"/>
      <c r="I232" s="197"/>
      <c r="J232" s="248"/>
      <c r="K232" s="139"/>
    </row>
    <row r="233" spans="2:11" ht="25" outlineLevel="1">
      <c r="B233" s="163" t="s">
        <v>127</v>
      </c>
      <c r="C233" s="239">
        <v>97097</v>
      </c>
      <c r="D233" s="240" t="s">
        <v>41</v>
      </c>
      <c r="E233" s="151" t="s">
        <v>333</v>
      </c>
      <c r="F233" s="216"/>
      <c r="G233" s="247"/>
      <c r="H233" s="199" t="s">
        <v>525</v>
      </c>
      <c r="I233" s="199" t="s">
        <v>524</v>
      </c>
      <c r="J233" s="247" t="s">
        <v>316</v>
      </c>
      <c r="K233" s="147"/>
    </row>
    <row r="234" spans="2:11" outlineLevel="1">
      <c r="B234" s="160"/>
      <c r="C234" s="226"/>
      <c r="D234" s="227"/>
      <c r="E234" s="131"/>
      <c r="F234" s="208"/>
      <c r="G234" s="225"/>
      <c r="H234" s="191">
        <v>19.11</v>
      </c>
      <c r="I234" s="191">
        <v>29.58</v>
      </c>
      <c r="J234" s="485">
        <f>ROUND(I234*H234,2)</f>
        <v>565.27</v>
      </c>
      <c r="K234" s="369" t="s">
        <v>598</v>
      </c>
    </row>
    <row r="235" spans="2:11" ht="13" outlineLevel="1">
      <c r="B235" s="160"/>
      <c r="C235" s="226"/>
      <c r="D235" s="227"/>
      <c r="E235" s="131"/>
      <c r="F235" s="208"/>
      <c r="G235" s="225"/>
      <c r="H235" s="191"/>
      <c r="I235" s="472" t="s">
        <v>529</v>
      </c>
      <c r="J235" s="490">
        <f>SUM(J234)</f>
        <v>565.27</v>
      </c>
      <c r="K235" s="134"/>
    </row>
    <row r="236" spans="2:11" outlineLevel="1">
      <c r="B236" s="161"/>
      <c r="C236" s="244"/>
      <c r="D236" s="245"/>
      <c r="E236" s="138"/>
      <c r="F236" s="209"/>
      <c r="G236" s="248"/>
      <c r="H236" s="197"/>
      <c r="I236" s="197"/>
      <c r="J236" s="248"/>
      <c r="K236" s="139"/>
    </row>
    <row r="237" spans="2:11" ht="13" outlineLevel="1">
      <c r="B237" s="500" t="s">
        <v>85</v>
      </c>
      <c r="C237" s="150"/>
      <c r="D237" s="164"/>
      <c r="E237" s="501" t="s">
        <v>241</v>
      </c>
      <c r="F237" s="502"/>
      <c r="G237" s="247"/>
      <c r="H237" s="199"/>
      <c r="I237" s="199"/>
      <c r="J237" s="247"/>
      <c r="K237" s="147"/>
    </row>
    <row r="238" spans="2:11" outlineLevel="1">
      <c r="B238" s="160" t="s">
        <v>128</v>
      </c>
      <c r="C238" s="130">
        <v>93187</v>
      </c>
      <c r="D238" s="132" t="s">
        <v>41</v>
      </c>
      <c r="E238" s="131" t="s">
        <v>311</v>
      </c>
      <c r="F238" s="208"/>
      <c r="G238" s="225"/>
      <c r="H238" s="191"/>
      <c r="I238" s="191"/>
      <c r="J238" s="225" t="s">
        <v>318</v>
      </c>
      <c r="K238" s="134"/>
    </row>
    <row r="239" spans="2:11" outlineLevel="1">
      <c r="B239" s="160"/>
      <c r="C239" s="130"/>
      <c r="D239" s="132"/>
      <c r="E239" s="131"/>
      <c r="F239" s="208"/>
      <c r="G239" s="225"/>
      <c r="H239" s="191"/>
      <c r="I239" s="191"/>
      <c r="J239" s="225">
        <v>3</v>
      </c>
      <c r="K239" s="134"/>
    </row>
    <row r="240" spans="2:11" ht="13" outlineLevel="1">
      <c r="B240" s="160"/>
      <c r="C240" s="130"/>
      <c r="D240" s="132"/>
      <c r="E240" s="131"/>
      <c r="F240" s="208"/>
      <c r="G240" s="225"/>
      <c r="H240" s="191"/>
      <c r="I240" s="472" t="s">
        <v>529</v>
      </c>
      <c r="J240" s="490">
        <f>SUM(J239)</f>
        <v>3</v>
      </c>
      <c r="K240" s="134"/>
    </row>
    <row r="241" spans="2:11" outlineLevel="1">
      <c r="B241" s="161"/>
      <c r="C241" s="137"/>
      <c r="D241" s="162"/>
      <c r="E241" s="138"/>
      <c r="F241" s="209"/>
      <c r="G241" s="248"/>
      <c r="H241" s="197"/>
      <c r="I241" s="197"/>
      <c r="J241" s="248"/>
      <c r="K241" s="139"/>
    </row>
    <row r="242" spans="2:11" ht="20.149999999999999" customHeight="1">
      <c r="B242" s="87"/>
      <c r="C242" s="87"/>
      <c r="D242" s="87"/>
      <c r="H242" s="126"/>
      <c r="I242" s="210"/>
      <c r="J242" s="210"/>
      <c r="K242" s="127"/>
    </row>
    <row r="243" spans="2:11" ht="20.149999999999999" customHeight="1">
      <c r="B243" s="288">
        <v>5</v>
      </c>
      <c r="C243" s="289"/>
      <c r="D243" s="289"/>
      <c r="E243" s="291" t="s">
        <v>228</v>
      </c>
      <c r="F243" s="290"/>
      <c r="G243" s="182"/>
      <c r="H243" s="292"/>
      <c r="I243" s="184"/>
      <c r="J243" s="184"/>
      <c r="K243" s="270"/>
    </row>
    <row r="244" spans="2:11" ht="25" outlineLevel="1">
      <c r="B244" s="163" t="s">
        <v>14</v>
      </c>
      <c r="C244" s="240">
        <v>103323</v>
      </c>
      <c r="D244" s="240" t="s">
        <v>41</v>
      </c>
      <c r="E244" s="267" t="s">
        <v>324</v>
      </c>
      <c r="F244" s="265"/>
      <c r="G244" s="265"/>
      <c r="H244" s="199" t="s">
        <v>530</v>
      </c>
      <c r="I244" s="199" t="s">
        <v>531</v>
      </c>
      <c r="J244" s="265" t="s">
        <v>316</v>
      </c>
      <c r="K244" s="147"/>
    </row>
    <row r="245" spans="2:11" outlineLevel="1">
      <c r="B245" s="160"/>
      <c r="C245" s="227"/>
      <c r="D245" s="227"/>
      <c r="E245" s="268"/>
      <c r="F245" s="129"/>
      <c r="G245" s="129"/>
      <c r="H245" s="191">
        <v>52.1</v>
      </c>
      <c r="I245" s="191">
        <v>2.9</v>
      </c>
      <c r="J245" s="485">
        <f>ROUND(I245*H245,2)</f>
        <v>151.09</v>
      </c>
      <c r="K245" s="369" t="s">
        <v>601</v>
      </c>
    </row>
    <row r="246" spans="2:11" outlineLevel="1">
      <c r="B246" s="160"/>
      <c r="C246" s="227"/>
      <c r="D246" s="227"/>
      <c r="E246" s="268"/>
      <c r="F246" s="129"/>
      <c r="G246" s="129"/>
      <c r="H246" s="191">
        <v>13.86</v>
      </c>
      <c r="I246" s="191">
        <v>1.9</v>
      </c>
      <c r="J246" s="485">
        <f>ROUND(I246*H246,2)</f>
        <v>26.33</v>
      </c>
      <c r="K246" s="369" t="s">
        <v>600</v>
      </c>
    </row>
    <row r="247" spans="2:11" outlineLevel="1">
      <c r="B247" s="160"/>
      <c r="C247" s="227"/>
      <c r="D247" s="227"/>
      <c r="E247" s="268"/>
      <c r="F247" s="129"/>
      <c r="G247" s="129"/>
      <c r="H247" s="191">
        <v>10.5</v>
      </c>
      <c r="I247" s="262">
        <v>1.68</v>
      </c>
      <c r="J247" s="485">
        <f>ROUND(I247*H247,2)</f>
        <v>17.64</v>
      </c>
      <c r="K247" s="369" t="s">
        <v>604</v>
      </c>
    </row>
    <row r="248" spans="2:11" ht="13" outlineLevel="1">
      <c r="B248" s="160"/>
      <c r="C248" s="227"/>
      <c r="D248" s="227"/>
      <c r="E248" s="268"/>
      <c r="F248" s="129"/>
      <c r="G248" s="129"/>
      <c r="H248" s="191"/>
      <c r="I248" s="472" t="s">
        <v>529</v>
      </c>
      <c r="J248" s="376">
        <f>SUM(J245:J247)</f>
        <v>195.06</v>
      </c>
      <c r="K248" s="134"/>
    </row>
    <row r="249" spans="2:11" outlineLevel="1">
      <c r="B249" s="161"/>
      <c r="C249" s="245"/>
      <c r="D249" s="245"/>
      <c r="E249" s="269"/>
      <c r="F249" s="136"/>
      <c r="G249" s="136"/>
      <c r="H249" s="197"/>
      <c r="I249" s="197"/>
      <c r="J249" s="136"/>
      <c r="K249" s="139"/>
    </row>
    <row r="250" spans="2:11" ht="25" outlineLevel="1">
      <c r="B250" s="163" t="s">
        <v>549</v>
      </c>
      <c r="C250" s="240">
        <v>103316</v>
      </c>
      <c r="D250" s="240" t="s">
        <v>41</v>
      </c>
      <c r="E250" s="267" t="s">
        <v>548</v>
      </c>
      <c r="F250" s="265"/>
      <c r="G250" s="265"/>
      <c r="H250" s="199" t="s">
        <v>530</v>
      </c>
      <c r="I250" s="199" t="s">
        <v>531</v>
      </c>
      <c r="J250" s="265" t="s">
        <v>316</v>
      </c>
      <c r="K250" s="147"/>
    </row>
    <row r="251" spans="2:11" outlineLevel="1">
      <c r="B251" s="160"/>
      <c r="C251" s="227"/>
      <c r="D251" s="227"/>
      <c r="E251" s="268"/>
      <c r="F251" s="129"/>
      <c r="G251" s="129"/>
      <c r="H251" s="191">
        <v>75.599999999999994</v>
      </c>
      <c r="I251" s="191">
        <v>1</v>
      </c>
      <c r="J251" s="485">
        <f>ROUND(I251*H251,2)</f>
        <v>75.599999999999994</v>
      </c>
      <c r="K251" s="369" t="s">
        <v>602</v>
      </c>
    </row>
    <row r="252" spans="2:11" outlineLevel="1">
      <c r="B252" s="160"/>
      <c r="C252" s="227"/>
      <c r="D252" s="227"/>
      <c r="E252" s="268"/>
      <c r="F252" s="129"/>
      <c r="G252" s="129"/>
      <c r="H252" s="191">
        <v>25.95</v>
      </c>
      <c r="I252" s="191">
        <v>3.2</v>
      </c>
      <c r="J252" s="485">
        <f>ROUND(I252*H252,2)</f>
        <v>83.04</v>
      </c>
      <c r="K252" s="369" t="s">
        <v>603</v>
      </c>
    </row>
    <row r="253" spans="2:11" ht="13" outlineLevel="1">
      <c r="B253" s="160"/>
      <c r="C253" s="227"/>
      <c r="D253" s="227"/>
      <c r="E253" s="268"/>
      <c r="F253" s="129"/>
      <c r="G253" s="129"/>
      <c r="H253" s="191"/>
      <c r="I253" s="472" t="s">
        <v>529</v>
      </c>
      <c r="J253" s="376">
        <f>SUM(J251:J252)</f>
        <v>158.63999999999999</v>
      </c>
      <c r="K253" s="369"/>
    </row>
    <row r="254" spans="2:11" outlineLevel="1">
      <c r="B254" s="161"/>
      <c r="C254" s="245"/>
      <c r="D254" s="245"/>
      <c r="E254" s="269"/>
      <c r="F254" s="136"/>
      <c r="G254" s="136"/>
      <c r="H254" s="197"/>
      <c r="I254" s="197"/>
      <c r="J254" s="136"/>
      <c r="K254" s="457"/>
    </row>
    <row r="255" spans="2:11" ht="25" outlineLevel="1">
      <c r="B255" s="163" t="s">
        <v>550</v>
      </c>
      <c r="C255" s="240">
        <v>103320</v>
      </c>
      <c r="D255" s="240" t="s">
        <v>41</v>
      </c>
      <c r="E255" s="267" t="s">
        <v>547</v>
      </c>
      <c r="F255" s="265"/>
      <c r="G255" s="265"/>
      <c r="H255" s="199" t="s">
        <v>530</v>
      </c>
      <c r="I255" s="199" t="s">
        <v>531</v>
      </c>
      <c r="J255" s="265" t="s">
        <v>316</v>
      </c>
      <c r="K255" s="147"/>
    </row>
    <row r="256" spans="2:11" outlineLevel="1">
      <c r="B256" s="160"/>
      <c r="C256" s="227"/>
      <c r="D256" s="227"/>
      <c r="E256" s="268"/>
      <c r="F256" s="129"/>
      <c r="G256" s="129"/>
      <c r="H256" s="191">
        <v>44</v>
      </c>
      <c r="I256" s="191">
        <v>3</v>
      </c>
      <c r="J256" s="485">
        <f>ROUND(I256*H256,2)</f>
        <v>132</v>
      </c>
      <c r="K256" s="369" t="s">
        <v>605</v>
      </c>
    </row>
    <row r="257" spans="1:13" ht="13" outlineLevel="1">
      <c r="B257" s="160"/>
      <c r="C257" s="227"/>
      <c r="D257" s="227"/>
      <c r="E257" s="268"/>
      <c r="F257" s="129"/>
      <c r="G257" s="129"/>
      <c r="H257" s="191"/>
      <c r="I257" s="472" t="s">
        <v>529</v>
      </c>
      <c r="J257" s="376">
        <f>SUM(J256:J256)</f>
        <v>132</v>
      </c>
      <c r="K257" s="369"/>
    </row>
    <row r="258" spans="1:13" outlineLevel="1">
      <c r="B258" s="161"/>
      <c r="C258" s="245"/>
      <c r="D258" s="245"/>
      <c r="E258" s="269"/>
      <c r="F258" s="136"/>
      <c r="G258" s="136"/>
      <c r="H258" s="197"/>
      <c r="I258" s="197"/>
      <c r="J258" s="198"/>
      <c r="K258" s="139"/>
    </row>
    <row r="259" spans="1:13" ht="20.149999999999999" customHeight="1">
      <c r="B259" s="87"/>
      <c r="C259" s="87"/>
      <c r="D259" s="87"/>
      <c r="H259" s="126"/>
      <c r="I259" s="210"/>
      <c r="J259" s="210"/>
      <c r="K259" s="127"/>
    </row>
    <row r="260" spans="1:13" ht="20.149999999999999" customHeight="1">
      <c r="B260" s="156">
        <v>6</v>
      </c>
      <c r="C260" s="157"/>
      <c r="D260" s="157"/>
      <c r="E260" s="291" t="s">
        <v>2</v>
      </c>
      <c r="F260" s="296"/>
      <c r="G260" s="182"/>
      <c r="H260" s="183"/>
      <c r="I260" s="184"/>
      <c r="J260" s="184"/>
      <c r="K260" s="145"/>
    </row>
    <row r="261" spans="1:13" ht="13" outlineLevel="1">
      <c r="B261" s="298" t="s">
        <v>15</v>
      </c>
      <c r="C261" s="299"/>
      <c r="D261" s="299"/>
      <c r="E261" s="300" t="s">
        <v>42</v>
      </c>
      <c r="F261" s="301"/>
      <c r="G261" s="302"/>
      <c r="H261" s="303"/>
      <c r="I261" s="304"/>
      <c r="J261" s="304"/>
      <c r="K261" s="255"/>
    </row>
    <row r="262" spans="1:13" ht="25" outlineLevel="1">
      <c r="B262" s="163" t="s">
        <v>129</v>
      </c>
      <c r="C262" s="164">
        <v>90844</v>
      </c>
      <c r="D262" s="164" t="s">
        <v>41</v>
      </c>
      <c r="E262" s="151" t="s">
        <v>594</v>
      </c>
      <c r="F262" s="216"/>
      <c r="G262" s="186"/>
      <c r="H262" s="199"/>
      <c r="I262" s="199"/>
      <c r="J262" s="186" t="s">
        <v>317</v>
      </c>
      <c r="K262" s="147"/>
    </row>
    <row r="263" spans="1:13" outlineLevel="1">
      <c r="B263" s="160"/>
      <c r="C263" s="132"/>
      <c r="D263" s="132"/>
      <c r="E263" s="131"/>
      <c r="F263" s="208"/>
      <c r="G263" s="190"/>
      <c r="H263" s="191"/>
      <c r="I263" s="191"/>
      <c r="J263" s="190">
        <v>3</v>
      </c>
      <c r="K263" s="134"/>
    </row>
    <row r="264" spans="1:13" ht="13" outlineLevel="1">
      <c r="B264" s="160"/>
      <c r="C264" s="132"/>
      <c r="D264" s="132"/>
      <c r="E264" s="131"/>
      <c r="F264" s="208"/>
      <c r="G264" s="190"/>
      <c r="H264" s="191"/>
      <c r="I264" s="472" t="s">
        <v>529</v>
      </c>
      <c r="J264" s="490">
        <f>SUM(J263)</f>
        <v>3</v>
      </c>
      <c r="K264" s="134"/>
    </row>
    <row r="265" spans="1:13" outlineLevel="1">
      <c r="B265" s="161"/>
      <c r="C265" s="162"/>
      <c r="D265" s="162"/>
      <c r="E265" s="138"/>
      <c r="F265" s="209"/>
      <c r="G265" s="196"/>
      <c r="H265" s="197"/>
      <c r="I265" s="197"/>
      <c r="J265" s="196"/>
      <c r="K265" s="139"/>
    </row>
    <row r="266" spans="1:13" ht="25" outlineLevel="1">
      <c r="B266" s="159" t="s">
        <v>130</v>
      </c>
      <c r="C266" s="155">
        <v>91341</v>
      </c>
      <c r="D266" s="155" t="s">
        <v>41</v>
      </c>
      <c r="E266" s="154" t="s">
        <v>595</v>
      </c>
      <c r="F266" s="297"/>
      <c r="G266" s="262" t="s">
        <v>33</v>
      </c>
      <c r="H266" s="262" t="s">
        <v>525</v>
      </c>
      <c r="I266" s="262" t="s">
        <v>531</v>
      </c>
      <c r="J266" s="295" t="s">
        <v>316</v>
      </c>
      <c r="K266" s="143"/>
    </row>
    <row r="267" spans="1:13" outlineLevel="1">
      <c r="B267" s="160"/>
      <c r="C267" s="132"/>
      <c r="D267" s="132"/>
      <c r="E267" s="131"/>
      <c r="F267" s="208"/>
      <c r="G267" s="190">
        <v>4</v>
      </c>
      <c r="H267" s="191">
        <v>0.6</v>
      </c>
      <c r="I267" s="191">
        <v>1.7</v>
      </c>
      <c r="J267" s="485">
        <f>ROUND(I267*H267,2)</f>
        <v>1.02</v>
      </c>
      <c r="K267" s="134"/>
    </row>
    <row r="268" spans="1:13" outlineLevel="1">
      <c r="B268" s="160"/>
      <c r="C268" s="132"/>
      <c r="D268" s="132"/>
      <c r="E268" s="131"/>
      <c r="F268" s="208"/>
      <c r="G268" s="190">
        <v>2</v>
      </c>
      <c r="H268" s="191">
        <v>0.9</v>
      </c>
      <c r="I268" s="191">
        <v>1.7</v>
      </c>
      <c r="J268" s="485">
        <f>ROUND(I268*H268,2)</f>
        <v>1.53</v>
      </c>
      <c r="K268" s="369" t="s">
        <v>596</v>
      </c>
    </row>
    <row r="269" spans="1:13" ht="13" outlineLevel="1">
      <c r="B269" s="160"/>
      <c r="C269" s="132"/>
      <c r="D269" s="132"/>
      <c r="E269" s="131"/>
      <c r="F269" s="208"/>
      <c r="G269" s="190"/>
      <c r="H269" s="191"/>
      <c r="I269" s="472" t="s">
        <v>529</v>
      </c>
      <c r="J269" s="490">
        <f>SUM(J267:J268)</f>
        <v>2.5499999999999998</v>
      </c>
      <c r="K269" s="134"/>
    </row>
    <row r="270" spans="1:13" outlineLevel="1">
      <c r="B270" s="305"/>
      <c r="C270" s="306"/>
      <c r="D270" s="306"/>
      <c r="E270" s="307"/>
      <c r="F270" s="308"/>
      <c r="G270" s="201"/>
      <c r="H270" s="202"/>
      <c r="I270" s="202"/>
      <c r="J270" s="201"/>
      <c r="K270" s="149"/>
    </row>
    <row r="271" spans="1:13" ht="13" outlineLevel="1">
      <c r="B271" s="298" t="s">
        <v>16</v>
      </c>
      <c r="C271" s="309"/>
      <c r="D271" s="317"/>
      <c r="E271" s="300" t="s">
        <v>43</v>
      </c>
      <c r="F271" s="301"/>
      <c r="G271" s="302"/>
      <c r="H271" s="254"/>
      <c r="I271" s="254"/>
      <c r="J271" s="302"/>
      <c r="K271" s="255"/>
    </row>
    <row r="272" spans="1:13" s="53" customFormat="1" ht="25" outlineLevel="1">
      <c r="A272" s="55"/>
      <c r="B272" s="315" t="s">
        <v>131</v>
      </c>
      <c r="C272" s="261">
        <v>100868</v>
      </c>
      <c r="D272" s="261"/>
      <c r="E272" s="154" t="s">
        <v>361</v>
      </c>
      <c r="F272" s="297"/>
      <c r="G272" s="295"/>
      <c r="H272" s="316"/>
      <c r="I272" s="262"/>
      <c r="J272" s="295" t="s">
        <v>317</v>
      </c>
      <c r="K272" s="143"/>
      <c r="M272" s="58"/>
    </row>
    <row r="273" spans="1:13" s="53" customFormat="1" outlineLevel="1">
      <c r="A273" s="55"/>
      <c r="B273" s="294"/>
      <c r="C273" s="227"/>
      <c r="D273" s="227"/>
      <c r="E273" s="131"/>
      <c r="F273" s="208"/>
      <c r="G273" s="190"/>
      <c r="H273" s="293"/>
      <c r="I273" s="191"/>
      <c r="J273" s="190">
        <v>8</v>
      </c>
      <c r="K273" s="369" t="s">
        <v>596</v>
      </c>
      <c r="M273" s="58"/>
    </row>
    <row r="274" spans="1:13" s="53" customFormat="1" ht="13" outlineLevel="1">
      <c r="A274" s="55"/>
      <c r="B274" s="294"/>
      <c r="C274" s="227"/>
      <c r="D274" s="227"/>
      <c r="E274" s="131"/>
      <c r="F274" s="208"/>
      <c r="G274" s="190"/>
      <c r="H274" s="293"/>
      <c r="I274" s="472" t="s">
        <v>529</v>
      </c>
      <c r="J274" s="490">
        <f>SUM(J273)</f>
        <v>8</v>
      </c>
      <c r="K274" s="490"/>
      <c r="M274" s="58"/>
    </row>
    <row r="275" spans="1:13" s="53" customFormat="1" outlineLevel="1">
      <c r="A275" s="55"/>
      <c r="B275" s="311"/>
      <c r="C275" s="312"/>
      <c r="D275" s="312"/>
      <c r="E275" s="307"/>
      <c r="F275" s="308"/>
      <c r="G275" s="201"/>
      <c r="H275" s="313"/>
      <c r="I275" s="202"/>
      <c r="J275" s="201"/>
      <c r="K275" s="149"/>
      <c r="M275" s="58"/>
    </row>
    <row r="276" spans="1:13" ht="13" outlineLevel="1">
      <c r="B276" s="298" t="s">
        <v>17</v>
      </c>
      <c r="C276" s="309"/>
      <c r="D276" s="309"/>
      <c r="E276" s="300" t="s">
        <v>44</v>
      </c>
      <c r="F276" s="301"/>
      <c r="G276" s="314"/>
      <c r="H276" s="254"/>
      <c r="I276" s="254"/>
      <c r="J276" s="314"/>
      <c r="K276" s="255"/>
    </row>
    <row r="277" spans="1:13" ht="25" outlineLevel="1">
      <c r="B277" s="163" t="s">
        <v>132</v>
      </c>
      <c r="C277" s="164">
        <v>94569</v>
      </c>
      <c r="D277" s="164" t="s">
        <v>41</v>
      </c>
      <c r="E277" s="151" t="s">
        <v>513</v>
      </c>
      <c r="F277" s="216"/>
      <c r="G277" s="186" t="s">
        <v>33</v>
      </c>
      <c r="H277" s="199" t="s">
        <v>524</v>
      </c>
      <c r="I277" s="199" t="s">
        <v>525</v>
      </c>
      <c r="J277" s="186" t="s">
        <v>316</v>
      </c>
      <c r="K277" s="147"/>
    </row>
    <row r="278" spans="1:13" outlineLevel="1">
      <c r="B278" s="160"/>
      <c r="C278" s="132"/>
      <c r="D278" s="132"/>
      <c r="E278" s="131"/>
      <c r="F278" s="208"/>
      <c r="G278" s="190">
        <v>2</v>
      </c>
      <c r="H278" s="191">
        <v>3.2</v>
      </c>
      <c r="I278" s="191">
        <v>0.4</v>
      </c>
      <c r="J278" s="190">
        <f>ROUND(I278*H278*G278,2)</f>
        <v>2.56</v>
      </c>
      <c r="K278" s="134"/>
    </row>
    <row r="279" spans="1:13" outlineLevel="1">
      <c r="B279" s="160"/>
      <c r="C279" s="132"/>
      <c r="D279" s="132"/>
      <c r="E279" s="131"/>
      <c r="F279" s="208"/>
      <c r="G279" s="190">
        <v>2</v>
      </c>
      <c r="H279" s="191">
        <v>2.4</v>
      </c>
      <c r="I279" s="191">
        <v>0.4</v>
      </c>
      <c r="J279" s="190">
        <f>ROUND(I279*H279*G279,2)</f>
        <v>1.92</v>
      </c>
      <c r="K279" s="134"/>
    </row>
    <row r="280" spans="1:13" outlineLevel="1">
      <c r="B280" s="160"/>
      <c r="C280" s="132"/>
      <c r="D280" s="132"/>
      <c r="E280" s="131"/>
      <c r="F280" s="208"/>
      <c r="G280" s="190">
        <v>1</v>
      </c>
      <c r="H280" s="191">
        <v>0.8</v>
      </c>
      <c r="I280" s="191">
        <v>0.4</v>
      </c>
      <c r="J280" s="190">
        <f>ROUND(I280*H280*G280,2)</f>
        <v>0.32</v>
      </c>
      <c r="K280" s="134"/>
    </row>
    <row r="281" spans="1:13" ht="13" outlineLevel="1">
      <c r="B281" s="160"/>
      <c r="C281" s="132"/>
      <c r="D281" s="132"/>
      <c r="E281" s="131"/>
      <c r="F281" s="208"/>
      <c r="G281" s="190"/>
      <c r="H281" s="191"/>
      <c r="I281" s="193" t="s">
        <v>529</v>
      </c>
      <c r="J281" s="376">
        <f>SUM(J278:J280)</f>
        <v>4.8000000000000007</v>
      </c>
      <c r="K281" s="134"/>
    </row>
    <row r="282" spans="1:13" outlineLevel="1">
      <c r="B282" s="161"/>
      <c r="C282" s="162"/>
      <c r="D282" s="162"/>
      <c r="E282" s="138"/>
      <c r="F282" s="209"/>
      <c r="G282" s="196"/>
      <c r="H282" s="197"/>
      <c r="I282" s="197"/>
      <c r="J282" s="196"/>
      <c r="K282" s="139"/>
    </row>
    <row r="283" spans="1:13" ht="25" outlineLevel="1">
      <c r="B283" s="163" t="s">
        <v>133</v>
      </c>
      <c r="C283" s="164">
        <v>94589</v>
      </c>
      <c r="D283" s="164" t="s">
        <v>41</v>
      </c>
      <c r="E283" s="151" t="s">
        <v>514</v>
      </c>
      <c r="F283" s="216"/>
      <c r="G283" s="186"/>
      <c r="H283" s="199"/>
      <c r="I283" s="199"/>
      <c r="J283" s="186" t="s">
        <v>318</v>
      </c>
      <c r="K283" s="147"/>
    </row>
    <row r="284" spans="1:13" outlineLevel="1">
      <c r="B284" s="160"/>
      <c r="C284" s="132"/>
      <c r="D284" s="132"/>
      <c r="E284" s="131"/>
      <c r="F284" s="208"/>
      <c r="G284" s="190"/>
      <c r="H284" s="191"/>
      <c r="I284" s="191"/>
      <c r="J284" s="190">
        <f>(H278+I278)*4</f>
        <v>14.4</v>
      </c>
      <c r="K284" s="134"/>
    </row>
    <row r="285" spans="1:13" outlineLevel="1">
      <c r="B285" s="160"/>
      <c r="C285" s="132"/>
      <c r="D285" s="132"/>
      <c r="E285" s="131"/>
      <c r="F285" s="208"/>
      <c r="G285" s="190"/>
      <c r="H285" s="191"/>
      <c r="I285" s="191"/>
      <c r="J285" s="190">
        <f t="shared" ref="J285:J286" si="23">(H279+I279)*4</f>
        <v>11.2</v>
      </c>
      <c r="K285" s="134"/>
    </row>
    <row r="286" spans="1:13" outlineLevel="1">
      <c r="B286" s="160"/>
      <c r="C286" s="132"/>
      <c r="D286" s="132"/>
      <c r="E286" s="131"/>
      <c r="F286" s="208"/>
      <c r="G286" s="190"/>
      <c r="H286" s="191"/>
      <c r="I286" s="191"/>
      <c r="J286" s="190">
        <f t="shared" si="23"/>
        <v>4.8000000000000007</v>
      </c>
      <c r="K286" s="134"/>
    </row>
    <row r="287" spans="1:13" ht="13" outlineLevel="1">
      <c r="B287" s="305"/>
      <c r="C287" s="306"/>
      <c r="D287" s="306"/>
      <c r="E287" s="307"/>
      <c r="F287" s="308"/>
      <c r="G287" s="201"/>
      <c r="H287" s="202"/>
      <c r="I287" s="504" t="s">
        <v>529</v>
      </c>
      <c r="J287" s="505">
        <f>SUM(J284:J286)</f>
        <v>30.400000000000002</v>
      </c>
      <c r="K287" s="149"/>
    </row>
    <row r="288" spans="1:13" outlineLevel="1">
      <c r="B288" s="161"/>
      <c r="C288" s="162"/>
      <c r="D288" s="162"/>
      <c r="E288" s="138"/>
      <c r="F288" s="209"/>
      <c r="G288" s="196"/>
      <c r="H288" s="197"/>
      <c r="I288" s="197"/>
      <c r="J288" s="196"/>
      <c r="K288" s="139"/>
    </row>
    <row r="289" spans="2:11" ht="13" outlineLevel="1">
      <c r="B289" s="298" t="s">
        <v>18</v>
      </c>
      <c r="C289" s="309"/>
      <c r="D289" s="309"/>
      <c r="E289" s="300" t="s">
        <v>45</v>
      </c>
      <c r="F289" s="301"/>
      <c r="G289" s="310"/>
      <c r="H289" s="254"/>
      <c r="I289" s="254"/>
      <c r="J289" s="310"/>
      <c r="K289" s="255"/>
    </row>
    <row r="290" spans="2:11" ht="37.5" outlineLevel="1">
      <c r="B290" s="163" t="s">
        <v>134</v>
      </c>
      <c r="C290" s="164" t="s">
        <v>475</v>
      </c>
      <c r="D290" s="164" t="s">
        <v>469</v>
      </c>
      <c r="E290" s="151" t="s">
        <v>476</v>
      </c>
      <c r="F290" s="216"/>
      <c r="G290" s="186"/>
      <c r="H290" s="199"/>
      <c r="I290" s="199"/>
      <c r="J290" s="186" t="s">
        <v>317</v>
      </c>
      <c r="K290" s="147"/>
    </row>
    <row r="291" spans="2:11" outlineLevel="1">
      <c r="B291" s="160"/>
      <c r="C291" s="132"/>
      <c r="D291" s="132"/>
      <c r="E291" s="131"/>
      <c r="F291" s="208"/>
      <c r="G291" s="190"/>
      <c r="H291" s="191"/>
      <c r="I291" s="191"/>
      <c r="J291" s="192">
        <v>2</v>
      </c>
      <c r="K291" s="134"/>
    </row>
    <row r="292" spans="2:11" ht="13" outlineLevel="1">
      <c r="B292" s="160"/>
      <c r="C292" s="132"/>
      <c r="D292" s="132"/>
      <c r="E292" s="131"/>
      <c r="F292" s="208"/>
      <c r="G292" s="190"/>
      <c r="H292" s="191"/>
      <c r="I292" s="472" t="s">
        <v>529</v>
      </c>
      <c r="J292" s="490">
        <f>SUM(J291)</f>
        <v>2</v>
      </c>
      <c r="K292" s="134"/>
    </row>
    <row r="293" spans="2:11" outlineLevel="1">
      <c r="B293" s="161"/>
      <c r="C293" s="162"/>
      <c r="D293" s="162"/>
      <c r="E293" s="138"/>
      <c r="F293" s="209"/>
      <c r="G293" s="196"/>
      <c r="H293" s="197"/>
      <c r="I293" s="197"/>
      <c r="J293" s="198"/>
      <c r="K293" s="139"/>
    </row>
    <row r="294" spans="2:11" ht="20.149999999999999" customHeight="1">
      <c r="B294" s="87"/>
      <c r="C294" s="87"/>
      <c r="D294" s="87"/>
      <c r="H294" s="126"/>
      <c r="I294" s="210"/>
      <c r="J294" s="210"/>
      <c r="K294" s="127"/>
    </row>
    <row r="295" spans="2:11" ht="20.149999999999999" customHeight="1">
      <c r="B295" s="156">
        <v>7</v>
      </c>
      <c r="C295" s="157"/>
      <c r="D295" s="157"/>
      <c r="E295" s="291" t="s">
        <v>229</v>
      </c>
      <c r="F295" s="296"/>
      <c r="G295" s="182"/>
      <c r="H295" s="183"/>
      <c r="I295" s="184"/>
      <c r="J295" s="184"/>
      <c r="K295" s="145"/>
    </row>
    <row r="296" spans="2:11" ht="25" outlineLevel="1">
      <c r="B296" s="163" t="s">
        <v>19</v>
      </c>
      <c r="C296" s="240">
        <v>94213</v>
      </c>
      <c r="D296" s="240" t="s">
        <v>41</v>
      </c>
      <c r="E296" s="327" t="s">
        <v>300</v>
      </c>
      <c r="F296" s="328"/>
      <c r="G296" s="186"/>
      <c r="H296" s="199" t="s">
        <v>525</v>
      </c>
      <c r="I296" s="199" t="s">
        <v>524</v>
      </c>
      <c r="J296" s="247" t="s">
        <v>316</v>
      </c>
      <c r="K296" s="147"/>
    </row>
    <row r="297" spans="2:11" outlineLevel="1">
      <c r="B297" s="160"/>
      <c r="C297" s="227"/>
      <c r="D297" s="227"/>
      <c r="E297" s="321"/>
      <c r="F297" s="322"/>
      <c r="G297" s="190"/>
      <c r="H297" s="191">
        <v>24</v>
      </c>
      <c r="I297" s="191">
        <v>36</v>
      </c>
      <c r="J297" s="485">
        <f>ROUND(I297*H297,2)</f>
        <v>864</v>
      </c>
      <c r="K297" s="134"/>
    </row>
    <row r="298" spans="2:11" ht="13" outlineLevel="1">
      <c r="B298" s="160"/>
      <c r="C298" s="227"/>
      <c r="D298" s="227"/>
      <c r="E298" s="321"/>
      <c r="F298" s="322"/>
      <c r="G298" s="190"/>
      <c r="H298" s="191"/>
      <c r="I298" s="472" t="s">
        <v>529</v>
      </c>
      <c r="J298" s="490">
        <f>SUM(J297)</f>
        <v>864</v>
      </c>
      <c r="K298" s="134"/>
    </row>
    <row r="299" spans="2:11" outlineLevel="1">
      <c r="B299" s="161"/>
      <c r="C299" s="245"/>
      <c r="D299" s="245"/>
      <c r="E299" s="329"/>
      <c r="F299" s="330"/>
      <c r="G299" s="196"/>
      <c r="H299" s="197"/>
      <c r="I299" s="197"/>
      <c r="J299" s="196"/>
      <c r="K299" s="139"/>
    </row>
    <row r="300" spans="2:11" ht="25" outlineLevel="1">
      <c r="B300" s="163" t="s">
        <v>135</v>
      </c>
      <c r="C300" s="164">
        <v>92580</v>
      </c>
      <c r="D300" s="164" t="s">
        <v>41</v>
      </c>
      <c r="E300" s="327" t="s">
        <v>301</v>
      </c>
      <c r="F300" s="328"/>
      <c r="G300" s="186"/>
      <c r="H300" s="199" t="s">
        <v>525</v>
      </c>
      <c r="I300" s="199" t="s">
        <v>524</v>
      </c>
      <c r="J300" s="247" t="s">
        <v>316</v>
      </c>
      <c r="K300" s="147"/>
    </row>
    <row r="301" spans="2:11" outlineLevel="1">
      <c r="B301" s="160"/>
      <c r="C301" s="132"/>
      <c r="D301" s="132"/>
      <c r="E301" s="321"/>
      <c r="F301" s="322"/>
      <c r="G301" s="190"/>
      <c r="H301" s="191">
        <v>24</v>
      </c>
      <c r="I301" s="191">
        <v>36</v>
      </c>
      <c r="J301" s="485">
        <f>ROUND(I301*H301,2)</f>
        <v>864</v>
      </c>
      <c r="K301" s="134"/>
    </row>
    <row r="302" spans="2:11" ht="13" outlineLevel="1">
      <c r="B302" s="160"/>
      <c r="C302" s="132"/>
      <c r="D302" s="132"/>
      <c r="E302" s="321"/>
      <c r="F302" s="322"/>
      <c r="G302" s="190"/>
      <c r="H302" s="191"/>
      <c r="I302" s="472" t="s">
        <v>529</v>
      </c>
      <c r="J302" s="490">
        <f>SUM(J301)</f>
        <v>864</v>
      </c>
      <c r="K302" s="134"/>
    </row>
    <row r="303" spans="2:11" outlineLevel="1">
      <c r="B303" s="161"/>
      <c r="C303" s="162"/>
      <c r="D303" s="162"/>
      <c r="E303" s="329"/>
      <c r="F303" s="330"/>
      <c r="G303" s="196"/>
      <c r="H303" s="197"/>
      <c r="I303" s="197"/>
      <c r="J303" s="196"/>
      <c r="K303" s="139"/>
    </row>
    <row r="304" spans="2:11" ht="37.5" outlineLevel="1">
      <c r="B304" s="163" t="s">
        <v>541</v>
      </c>
      <c r="C304" s="164">
        <v>100765</v>
      </c>
      <c r="D304" s="164" t="s">
        <v>41</v>
      </c>
      <c r="E304" s="327" t="s">
        <v>540</v>
      </c>
      <c r="F304" s="265"/>
      <c r="G304" s="265"/>
      <c r="H304" s="371" t="s">
        <v>587</v>
      </c>
      <c r="I304" s="332" t="s">
        <v>33</v>
      </c>
      <c r="J304" s="265" t="s">
        <v>309</v>
      </c>
      <c r="K304" s="147"/>
    </row>
    <row r="305" spans="2:11" outlineLevel="1">
      <c r="B305" s="160"/>
      <c r="C305" s="132"/>
      <c r="D305" s="132"/>
      <c r="E305" s="321"/>
      <c r="F305" s="129"/>
      <c r="G305" s="129"/>
      <c r="H305" s="323">
        <v>298.08</v>
      </c>
      <c r="I305" s="191">
        <v>8</v>
      </c>
      <c r="J305" s="485">
        <f>ROUND(I305*H305,2)</f>
        <v>2384.64</v>
      </c>
      <c r="K305" s="134"/>
    </row>
    <row r="306" spans="2:11" ht="13" outlineLevel="1">
      <c r="B306" s="160"/>
      <c r="C306" s="132"/>
      <c r="D306" s="132"/>
      <c r="E306" s="321"/>
      <c r="F306" s="129"/>
      <c r="G306" s="129"/>
      <c r="H306" s="323"/>
      <c r="I306" s="472" t="s">
        <v>529</v>
      </c>
      <c r="J306" s="490">
        <f>SUM(J305)</f>
        <v>2384.64</v>
      </c>
      <c r="K306" s="134"/>
    </row>
    <row r="307" spans="2:11" outlineLevel="1">
      <c r="B307" s="160"/>
      <c r="C307" s="132"/>
      <c r="D307" s="132"/>
      <c r="E307" s="321"/>
      <c r="F307" s="129"/>
      <c r="G307" s="129"/>
      <c r="H307" s="323"/>
      <c r="I307" s="324"/>
      <c r="J307" s="129"/>
      <c r="K307" s="134"/>
    </row>
    <row r="308" spans="2:11" outlineLevel="1">
      <c r="B308" s="161"/>
      <c r="C308" s="162"/>
      <c r="D308" s="162"/>
      <c r="E308" s="329"/>
      <c r="F308" s="136"/>
      <c r="G308" s="136"/>
      <c r="H308" s="333"/>
      <c r="I308" s="334"/>
      <c r="J308" s="136"/>
      <c r="K308" s="139"/>
    </row>
    <row r="309" spans="2:11" ht="37.5" outlineLevel="1">
      <c r="B309" s="163" t="s">
        <v>542</v>
      </c>
      <c r="C309" s="164">
        <v>100773</v>
      </c>
      <c r="D309" s="164" t="s">
        <v>41</v>
      </c>
      <c r="E309" s="327" t="s">
        <v>539</v>
      </c>
      <c r="F309" s="265"/>
      <c r="G309" s="265"/>
      <c r="H309" s="371" t="s">
        <v>587</v>
      </c>
      <c r="I309" s="332" t="s">
        <v>33</v>
      </c>
      <c r="J309" s="265" t="s">
        <v>309</v>
      </c>
      <c r="K309" s="147"/>
    </row>
    <row r="310" spans="2:11" outlineLevel="1">
      <c r="B310" s="160"/>
      <c r="C310" s="132"/>
      <c r="D310" s="132"/>
      <c r="E310" s="321"/>
      <c r="F310" s="129"/>
      <c r="G310" s="129"/>
      <c r="H310" s="370">
        <v>19.87</v>
      </c>
      <c r="I310" s="259">
        <v>7</v>
      </c>
      <c r="J310" s="485">
        <f>ROUND(I310*H310,2)</f>
        <v>139.09</v>
      </c>
      <c r="K310" s="134"/>
    </row>
    <row r="311" spans="2:11" outlineLevel="1">
      <c r="B311" s="160"/>
      <c r="C311" s="132"/>
      <c r="D311" s="132"/>
      <c r="E311" s="321"/>
      <c r="F311" s="129"/>
      <c r="G311" s="129"/>
      <c r="H311" s="323">
        <v>5.6</v>
      </c>
      <c r="I311" s="324">
        <v>7</v>
      </c>
      <c r="J311" s="485">
        <f>ROUND(I311*H311,2)</f>
        <v>39.200000000000003</v>
      </c>
      <c r="K311" s="134"/>
    </row>
    <row r="312" spans="2:11" ht="13" outlineLevel="1">
      <c r="B312" s="160"/>
      <c r="C312" s="132"/>
      <c r="D312" s="132"/>
      <c r="E312" s="321"/>
      <c r="F312" s="129"/>
      <c r="G312" s="129"/>
      <c r="H312" s="323"/>
      <c r="I312" s="472" t="s">
        <v>529</v>
      </c>
      <c r="J312" s="490">
        <f>SUM(J310:J311)</f>
        <v>178.29000000000002</v>
      </c>
      <c r="K312" s="134"/>
    </row>
    <row r="313" spans="2:11" outlineLevel="1">
      <c r="B313" s="161"/>
      <c r="C313" s="162"/>
      <c r="D313" s="162"/>
      <c r="E313" s="329"/>
      <c r="F313" s="136"/>
      <c r="G313" s="136"/>
      <c r="H313" s="333"/>
      <c r="I313" s="334"/>
      <c r="J313" s="334"/>
      <c r="K313" s="139"/>
    </row>
    <row r="314" spans="2:11" ht="20.149999999999999" customHeight="1">
      <c r="B314" s="87"/>
      <c r="C314" s="87"/>
      <c r="D314" s="87"/>
      <c r="H314" s="126"/>
      <c r="I314" s="210"/>
      <c r="J314" s="210"/>
      <c r="K314" s="127"/>
    </row>
    <row r="315" spans="2:11" ht="20.149999999999999" customHeight="1">
      <c r="B315" s="156">
        <v>8</v>
      </c>
      <c r="C315" s="157"/>
      <c r="D315" s="157"/>
      <c r="E315" s="291" t="s">
        <v>143</v>
      </c>
      <c r="F315" s="296"/>
      <c r="G315" s="182"/>
      <c r="H315" s="183"/>
      <c r="I315" s="184"/>
      <c r="J315" s="184"/>
      <c r="K315" s="145"/>
    </row>
    <row r="316" spans="2:11" outlineLevel="1">
      <c r="B316" s="163" t="s">
        <v>20</v>
      </c>
      <c r="C316" s="240">
        <v>98557</v>
      </c>
      <c r="D316" s="240" t="s">
        <v>41</v>
      </c>
      <c r="E316" s="264" t="s">
        <v>327</v>
      </c>
      <c r="F316" s="338"/>
      <c r="G316" s="186"/>
      <c r="H316" s="199"/>
      <c r="I316" s="199"/>
      <c r="J316" s="186" t="s">
        <v>316</v>
      </c>
      <c r="K316" s="147"/>
    </row>
    <row r="317" spans="2:11" outlineLevel="1">
      <c r="B317" s="160"/>
      <c r="C317" s="227"/>
      <c r="D317" s="227"/>
      <c r="E317" s="258"/>
      <c r="F317" s="335"/>
      <c r="G317" s="190"/>
      <c r="H317" s="191"/>
      <c r="I317" s="191"/>
      <c r="J317" s="190">
        <v>66</v>
      </c>
      <c r="K317" s="369" t="s">
        <v>593</v>
      </c>
    </row>
    <row r="318" spans="2:11" ht="13" outlineLevel="1">
      <c r="B318" s="160"/>
      <c r="C318" s="227"/>
      <c r="D318" s="227"/>
      <c r="E318" s="258"/>
      <c r="F318" s="335"/>
      <c r="G318" s="190"/>
      <c r="H318" s="191"/>
      <c r="I318" s="472" t="s">
        <v>529</v>
      </c>
      <c r="J318" s="490">
        <f>SUM(J317)</f>
        <v>66</v>
      </c>
      <c r="K318" s="134"/>
    </row>
    <row r="319" spans="2:11" outlineLevel="1">
      <c r="B319" s="161"/>
      <c r="C319" s="245"/>
      <c r="D319" s="245"/>
      <c r="E319" s="266"/>
      <c r="F319" s="339"/>
      <c r="G319" s="196"/>
      <c r="H319" s="197"/>
      <c r="I319" s="197"/>
      <c r="J319" s="196"/>
      <c r="K319" s="139"/>
    </row>
    <row r="320" spans="2:11" ht="25" outlineLevel="1">
      <c r="B320" s="163" t="s">
        <v>136</v>
      </c>
      <c r="C320" s="150">
        <v>97087</v>
      </c>
      <c r="D320" s="164" t="s">
        <v>41</v>
      </c>
      <c r="E320" s="340" t="s">
        <v>326</v>
      </c>
      <c r="F320" s="341"/>
      <c r="G320" s="247"/>
      <c r="H320" s="199"/>
      <c r="I320" s="199"/>
      <c r="J320" s="186" t="s">
        <v>316</v>
      </c>
      <c r="K320" s="147"/>
    </row>
    <row r="321" spans="2:11" outlineLevel="1">
      <c r="B321" s="160"/>
      <c r="C321" s="130"/>
      <c r="D321" s="132"/>
      <c r="E321" s="336"/>
      <c r="F321" s="337"/>
      <c r="G321" s="225"/>
      <c r="H321" s="191"/>
      <c r="I321" s="191"/>
      <c r="J321" s="190">
        <v>116.65</v>
      </c>
      <c r="K321" s="134"/>
    </row>
    <row r="322" spans="2:11" ht="13" outlineLevel="1">
      <c r="B322" s="160"/>
      <c r="C322" s="130"/>
      <c r="D322" s="132"/>
      <c r="E322" s="336"/>
      <c r="F322" s="337"/>
      <c r="G322" s="225"/>
      <c r="H322" s="191"/>
      <c r="I322" s="472" t="s">
        <v>529</v>
      </c>
      <c r="J322" s="490">
        <f>SUM(J321)</f>
        <v>116.65</v>
      </c>
      <c r="K322" s="134"/>
    </row>
    <row r="323" spans="2:11" outlineLevel="1">
      <c r="B323" s="161"/>
      <c r="C323" s="137"/>
      <c r="D323" s="162"/>
      <c r="E323" s="342"/>
      <c r="F323" s="343"/>
      <c r="G323" s="248"/>
      <c r="H323" s="197"/>
      <c r="I323" s="197"/>
      <c r="J323" s="198"/>
      <c r="K323" s="139"/>
    </row>
    <row r="324" spans="2:11" ht="20.149999999999999" customHeight="1">
      <c r="B324" s="2"/>
      <c r="C324" s="2"/>
      <c r="D324" s="2"/>
      <c r="E324" s="2"/>
      <c r="F324" s="217"/>
      <c r="G324" s="218"/>
      <c r="H324" s="218"/>
      <c r="I324" s="166"/>
      <c r="J324" s="166"/>
      <c r="K324" s="27"/>
    </row>
    <row r="325" spans="2:11" ht="13">
      <c r="B325" s="156">
        <v>9</v>
      </c>
      <c r="C325" s="157"/>
      <c r="D325" s="157"/>
      <c r="E325" s="291" t="s">
        <v>230</v>
      </c>
      <c r="F325" s="296"/>
      <c r="G325" s="182"/>
      <c r="H325" s="183"/>
      <c r="I325" s="184"/>
      <c r="J325" s="184"/>
      <c r="K325" s="145"/>
    </row>
    <row r="326" spans="2:11" ht="37.5" outlineLevel="1">
      <c r="B326" s="163" t="s">
        <v>21</v>
      </c>
      <c r="C326" s="346">
        <v>87907</v>
      </c>
      <c r="D326" s="347" t="s">
        <v>41</v>
      </c>
      <c r="E326" s="151" t="s">
        <v>328</v>
      </c>
      <c r="F326" s="216"/>
      <c r="G326" s="186"/>
      <c r="H326" s="199" t="s">
        <v>530</v>
      </c>
      <c r="I326" s="199" t="s">
        <v>531</v>
      </c>
      <c r="J326" s="186" t="s">
        <v>316</v>
      </c>
      <c r="K326" s="147"/>
    </row>
    <row r="327" spans="2:11" outlineLevel="1">
      <c r="B327" s="159"/>
      <c r="C327" s="260"/>
      <c r="D327" s="345"/>
      <c r="E327" s="154"/>
      <c r="F327" s="297"/>
      <c r="G327" s="295"/>
      <c r="H327" s="191">
        <v>57</v>
      </c>
      <c r="I327" s="191">
        <v>2.9</v>
      </c>
      <c r="J327" s="190">
        <f>ROUND(I327*H327,2)</f>
        <v>165.3</v>
      </c>
      <c r="K327" s="369" t="s">
        <v>611</v>
      </c>
    </row>
    <row r="328" spans="2:11" outlineLevel="1">
      <c r="B328" s="159"/>
      <c r="C328" s="260"/>
      <c r="D328" s="345"/>
      <c r="E328" s="154"/>
      <c r="F328" s="297"/>
      <c r="G328" s="295"/>
      <c r="H328" s="191">
        <v>47.6</v>
      </c>
      <c r="I328" s="191">
        <v>2.9</v>
      </c>
      <c r="J328" s="190">
        <f t="shared" ref="J328:J333" si="24">ROUND(I328*H328,2)</f>
        <v>138.04</v>
      </c>
      <c r="K328" s="369" t="s">
        <v>650</v>
      </c>
    </row>
    <row r="329" spans="2:11" outlineLevel="1">
      <c r="B329" s="160"/>
      <c r="C329" s="257"/>
      <c r="D329" s="344"/>
      <c r="E329" s="131"/>
      <c r="F329" s="208"/>
      <c r="G329" s="190"/>
      <c r="H329" s="191">
        <v>51.62</v>
      </c>
      <c r="I329" s="191">
        <v>1.9</v>
      </c>
      <c r="J329" s="190">
        <f t="shared" si="24"/>
        <v>98.08</v>
      </c>
      <c r="K329" s="369" t="s">
        <v>612</v>
      </c>
    </row>
    <row r="330" spans="2:11" outlineLevel="1">
      <c r="B330" s="160"/>
      <c r="C330" s="257"/>
      <c r="D330" s="344"/>
      <c r="E330" s="131"/>
      <c r="F330" s="208"/>
      <c r="G330" s="190"/>
      <c r="H330" s="191">
        <v>47.6</v>
      </c>
      <c r="I330" s="191">
        <v>1</v>
      </c>
      <c r="J330" s="190">
        <f t="shared" si="24"/>
        <v>47.6</v>
      </c>
      <c r="K330" s="369" t="s">
        <v>614</v>
      </c>
    </row>
    <row r="331" spans="2:11" outlineLevel="1">
      <c r="B331" s="160"/>
      <c r="C331" s="257"/>
      <c r="D331" s="344"/>
      <c r="E331" s="131"/>
      <c r="F331" s="208"/>
      <c r="G331" s="190"/>
      <c r="H331" s="191">
        <f>(29.85+19.35+29.85)*2</f>
        <v>158.10000000000002</v>
      </c>
      <c r="I331" s="191">
        <v>1</v>
      </c>
      <c r="J331" s="190">
        <f t="shared" si="24"/>
        <v>158.1</v>
      </c>
      <c r="K331" s="369" t="s">
        <v>602</v>
      </c>
    </row>
    <row r="332" spans="2:11" outlineLevel="1">
      <c r="B332" s="160"/>
      <c r="C332" s="257"/>
      <c r="D332" s="344"/>
      <c r="E332" s="131"/>
      <c r="F332" s="208"/>
      <c r="G332" s="190"/>
      <c r="H332" s="191">
        <f>23.03*2</f>
        <v>46.06</v>
      </c>
      <c r="I332" s="191">
        <v>6</v>
      </c>
      <c r="J332" s="190">
        <f t="shared" si="24"/>
        <v>276.36</v>
      </c>
      <c r="K332" s="369" t="s">
        <v>651</v>
      </c>
    </row>
    <row r="333" spans="2:11" outlineLevel="1">
      <c r="B333" s="160"/>
      <c r="C333" s="257"/>
      <c r="D333" s="344"/>
      <c r="E333" s="131"/>
      <c r="F333" s="208"/>
      <c r="G333" s="190"/>
      <c r="H333" s="191">
        <f>34.8+26.85</f>
        <v>61.65</v>
      </c>
      <c r="I333" s="191">
        <v>1.5</v>
      </c>
      <c r="J333" s="190">
        <f t="shared" si="24"/>
        <v>92.48</v>
      </c>
      <c r="K333" s="369" t="s">
        <v>603</v>
      </c>
    </row>
    <row r="334" spans="2:11" ht="13" outlineLevel="1">
      <c r="B334" s="160"/>
      <c r="C334" s="257"/>
      <c r="D334" s="344"/>
      <c r="E334" s="131"/>
      <c r="F334" s="208"/>
      <c r="G334" s="190"/>
      <c r="H334" s="191"/>
      <c r="I334" s="193" t="s">
        <v>529</v>
      </c>
      <c r="J334" s="376">
        <f>SUM(J327:J333)</f>
        <v>975.96</v>
      </c>
      <c r="K334" s="369"/>
    </row>
    <row r="335" spans="2:11" outlineLevel="1">
      <c r="B335" s="161"/>
      <c r="C335" s="348"/>
      <c r="D335" s="349"/>
      <c r="E335" s="138"/>
      <c r="F335" s="209"/>
      <c r="G335" s="196"/>
      <c r="H335" s="197"/>
      <c r="I335" s="197"/>
      <c r="J335" s="196"/>
      <c r="K335" s="139"/>
    </row>
    <row r="336" spans="2:11" ht="37.5" outlineLevel="1">
      <c r="B336" s="163" t="s">
        <v>22</v>
      </c>
      <c r="C336" s="346">
        <v>87530</v>
      </c>
      <c r="D336" s="347" t="s">
        <v>41</v>
      </c>
      <c r="E336" s="151" t="s">
        <v>329</v>
      </c>
      <c r="F336" s="216"/>
      <c r="G336" s="186"/>
      <c r="H336" s="199" t="s">
        <v>530</v>
      </c>
      <c r="I336" s="199" t="s">
        <v>531</v>
      </c>
      <c r="J336" s="186" t="s">
        <v>316</v>
      </c>
      <c r="K336" s="147"/>
    </row>
    <row r="337" spans="2:11" outlineLevel="1">
      <c r="B337" s="159"/>
      <c r="C337" s="260"/>
      <c r="D337" s="345"/>
      <c r="E337" s="154"/>
      <c r="F337" s="297"/>
      <c r="G337" s="295"/>
      <c r="H337" s="191">
        <v>57</v>
      </c>
      <c r="I337" s="191">
        <v>2.9</v>
      </c>
      <c r="J337" s="190">
        <f>ROUND(I337*H337,2)</f>
        <v>165.3</v>
      </c>
      <c r="K337" s="369" t="s">
        <v>611</v>
      </c>
    </row>
    <row r="338" spans="2:11" outlineLevel="1">
      <c r="B338" s="159"/>
      <c r="C338" s="260"/>
      <c r="D338" s="345"/>
      <c r="E338" s="154"/>
      <c r="F338" s="297"/>
      <c r="G338" s="295"/>
      <c r="H338" s="191">
        <v>47.6</v>
      </c>
      <c r="I338" s="191">
        <v>2.9</v>
      </c>
      <c r="J338" s="190">
        <f t="shared" ref="J338:J343" si="25">ROUND(I338*H338,2)</f>
        <v>138.04</v>
      </c>
      <c r="K338" s="369" t="s">
        <v>650</v>
      </c>
    </row>
    <row r="339" spans="2:11" outlineLevel="1">
      <c r="B339" s="159"/>
      <c r="C339" s="260"/>
      <c r="D339" s="345"/>
      <c r="E339" s="154"/>
      <c r="F339" s="297"/>
      <c r="G339" s="295"/>
      <c r="H339" s="191">
        <v>51.62</v>
      </c>
      <c r="I339" s="191">
        <v>1.9</v>
      </c>
      <c r="J339" s="190">
        <f t="shared" si="25"/>
        <v>98.08</v>
      </c>
      <c r="K339" s="369" t="s">
        <v>612</v>
      </c>
    </row>
    <row r="340" spans="2:11" outlineLevel="1">
      <c r="B340" s="159"/>
      <c r="C340" s="260"/>
      <c r="D340" s="345"/>
      <c r="E340" s="154"/>
      <c r="F340" s="297"/>
      <c r="G340" s="295"/>
      <c r="H340" s="191">
        <v>47.6</v>
      </c>
      <c r="I340" s="191">
        <v>1</v>
      </c>
      <c r="J340" s="190">
        <f t="shared" si="25"/>
        <v>47.6</v>
      </c>
      <c r="K340" s="369" t="s">
        <v>614</v>
      </c>
    </row>
    <row r="341" spans="2:11" outlineLevel="1">
      <c r="B341" s="159"/>
      <c r="C341" s="260"/>
      <c r="D341" s="345"/>
      <c r="E341" s="154"/>
      <c r="F341" s="297"/>
      <c r="G341" s="295"/>
      <c r="H341" s="191">
        <f>(29.85+19.35+29.85)*2</f>
        <v>158.10000000000002</v>
      </c>
      <c r="I341" s="191">
        <v>1</v>
      </c>
      <c r="J341" s="190">
        <f t="shared" si="25"/>
        <v>158.1</v>
      </c>
      <c r="K341" s="369" t="s">
        <v>602</v>
      </c>
    </row>
    <row r="342" spans="2:11" ht="13.5" customHeight="1" outlineLevel="1">
      <c r="B342" s="159"/>
      <c r="C342" s="260"/>
      <c r="D342" s="345"/>
      <c r="E342" s="154"/>
      <c r="F342" s="297"/>
      <c r="G342" s="295"/>
      <c r="H342" s="191">
        <f>23.03*2</f>
        <v>46.06</v>
      </c>
      <c r="I342" s="191">
        <v>6</v>
      </c>
      <c r="J342" s="190">
        <f t="shared" si="25"/>
        <v>276.36</v>
      </c>
      <c r="K342" s="369" t="s">
        <v>651</v>
      </c>
    </row>
    <row r="343" spans="2:11" outlineLevel="1">
      <c r="B343" s="159"/>
      <c r="C343" s="260"/>
      <c r="D343" s="345"/>
      <c r="E343" s="154"/>
      <c r="F343" s="297"/>
      <c r="G343" s="295"/>
      <c r="H343" s="191">
        <f>34.8+26.85</f>
        <v>61.65</v>
      </c>
      <c r="I343" s="191">
        <v>1.5</v>
      </c>
      <c r="J343" s="190">
        <f t="shared" si="25"/>
        <v>92.48</v>
      </c>
      <c r="K343" s="369" t="s">
        <v>603</v>
      </c>
    </row>
    <row r="344" spans="2:11" ht="13" outlineLevel="1">
      <c r="B344" s="160"/>
      <c r="C344" s="257"/>
      <c r="D344" s="344"/>
      <c r="E344" s="131"/>
      <c r="F344" s="208"/>
      <c r="G344" s="190"/>
      <c r="H344" s="191"/>
      <c r="I344" s="193" t="s">
        <v>529</v>
      </c>
      <c r="J344" s="376">
        <f>SUM(J337:J343)</f>
        <v>975.96</v>
      </c>
      <c r="K344" s="369"/>
    </row>
    <row r="345" spans="2:11" outlineLevel="1">
      <c r="B345" s="161"/>
      <c r="C345" s="348"/>
      <c r="D345" s="349"/>
      <c r="E345" s="138"/>
      <c r="F345" s="209"/>
      <c r="G345" s="196"/>
      <c r="H345" s="197"/>
      <c r="I345" s="197"/>
      <c r="J345" s="196"/>
      <c r="K345" s="139"/>
    </row>
    <row r="346" spans="2:11" ht="25" outlineLevel="1">
      <c r="B346" s="163" t="s">
        <v>23</v>
      </c>
      <c r="C346" s="346">
        <v>87273</v>
      </c>
      <c r="D346" s="347" t="s">
        <v>41</v>
      </c>
      <c r="E346" s="151" t="s">
        <v>330</v>
      </c>
      <c r="F346" s="216"/>
      <c r="G346" s="186"/>
      <c r="H346" s="199" t="s">
        <v>530</v>
      </c>
      <c r="I346" s="199" t="s">
        <v>531</v>
      </c>
      <c r="J346" s="186" t="s">
        <v>316</v>
      </c>
      <c r="K346" s="147"/>
    </row>
    <row r="347" spans="2:11" outlineLevel="1">
      <c r="B347" s="160"/>
      <c r="C347" s="257"/>
      <c r="D347" s="344"/>
      <c r="E347" s="131"/>
      <c r="F347" s="208"/>
      <c r="G347" s="190"/>
      <c r="H347" s="191">
        <v>57</v>
      </c>
      <c r="I347" s="191">
        <v>2.9</v>
      </c>
      <c r="J347" s="190">
        <f>ROUND(I347*H347,2)</f>
        <v>165.3</v>
      </c>
      <c r="K347" s="369" t="s">
        <v>611</v>
      </c>
    </row>
    <row r="348" spans="2:11" outlineLevel="1">
      <c r="B348" s="160"/>
      <c r="C348" s="257"/>
      <c r="D348" s="344"/>
      <c r="E348" s="131"/>
      <c r="F348" s="208"/>
      <c r="G348" s="190"/>
      <c r="H348" s="191">
        <v>51.62</v>
      </c>
      <c r="I348" s="191">
        <v>1.9</v>
      </c>
      <c r="J348" s="190">
        <f>ROUND(I348*H348,2)</f>
        <v>98.08</v>
      </c>
      <c r="K348" s="369" t="s">
        <v>612</v>
      </c>
    </row>
    <row r="349" spans="2:11" outlineLevel="1">
      <c r="B349" s="160"/>
      <c r="C349" s="257"/>
      <c r="D349" s="344"/>
      <c r="E349" s="131"/>
      <c r="F349" s="208"/>
      <c r="G349" s="190"/>
      <c r="H349" s="191">
        <v>47.6</v>
      </c>
      <c r="I349" s="191">
        <v>1</v>
      </c>
      <c r="J349" s="190">
        <f>ROUND(I349*H349,2)</f>
        <v>47.6</v>
      </c>
      <c r="K349" s="369" t="s">
        <v>613</v>
      </c>
    </row>
    <row r="350" spans="2:11" outlineLevel="1">
      <c r="B350" s="160"/>
      <c r="C350" s="257"/>
      <c r="D350" s="344"/>
      <c r="E350" s="131"/>
      <c r="F350" s="208"/>
      <c r="G350" s="190"/>
      <c r="H350" s="191">
        <v>11.7</v>
      </c>
      <c r="I350" s="191">
        <v>1.62</v>
      </c>
      <c r="J350" s="190">
        <f>ROUND(I350*H350,2)</f>
        <v>18.95</v>
      </c>
      <c r="K350" s="369" t="s">
        <v>614</v>
      </c>
    </row>
    <row r="351" spans="2:11" ht="13" outlineLevel="1">
      <c r="B351" s="160"/>
      <c r="C351" s="257"/>
      <c r="D351" s="344"/>
      <c r="E351" s="131"/>
      <c r="F351" s="208"/>
      <c r="G351" s="190"/>
      <c r="H351" s="191"/>
      <c r="I351" s="193" t="s">
        <v>529</v>
      </c>
      <c r="J351" s="376">
        <f>SUM(J347:J350)</f>
        <v>329.93</v>
      </c>
      <c r="K351" s="369"/>
    </row>
    <row r="352" spans="2:11" outlineLevel="1">
      <c r="B352" s="161"/>
      <c r="C352" s="348"/>
      <c r="D352" s="349"/>
      <c r="E352" s="138"/>
      <c r="F352" s="209"/>
      <c r="G352" s="196"/>
      <c r="H352" s="197"/>
      <c r="I352" s="197"/>
      <c r="J352" s="196"/>
      <c r="K352" s="457"/>
    </row>
    <row r="353" spans="2:11" ht="20.149999999999999" customHeight="1">
      <c r="B353" s="2"/>
      <c r="C353" s="2"/>
      <c r="D353" s="2"/>
      <c r="E353" s="2"/>
      <c r="F353" s="217"/>
      <c r="G353" s="218"/>
      <c r="H353" s="218"/>
      <c r="I353" s="166"/>
      <c r="J353" s="166"/>
      <c r="K353" s="27"/>
    </row>
    <row r="354" spans="2:11" ht="13">
      <c r="B354" s="156">
        <v>10</v>
      </c>
      <c r="C354" s="157"/>
      <c r="D354" s="157"/>
      <c r="E354" s="291" t="s">
        <v>231</v>
      </c>
      <c r="F354" s="296"/>
      <c r="G354" s="182"/>
      <c r="H354" s="183"/>
      <c r="I354" s="184"/>
      <c r="J354" s="184"/>
      <c r="K354" s="145"/>
    </row>
    <row r="355" spans="2:11" ht="13" outlineLevel="1">
      <c r="B355" s="353" t="s">
        <v>24</v>
      </c>
      <c r="C355" s="354"/>
      <c r="D355" s="309"/>
      <c r="E355" s="355" t="s">
        <v>240</v>
      </c>
      <c r="F355" s="356"/>
      <c r="G355" s="302"/>
      <c r="H355" s="254"/>
      <c r="I355" s="254"/>
      <c r="J355" s="304"/>
      <c r="K355" s="255"/>
    </row>
    <row r="356" spans="2:11" ht="25" outlineLevel="1">
      <c r="B356" s="163" t="s">
        <v>137</v>
      </c>
      <c r="C356" s="150">
        <v>97088</v>
      </c>
      <c r="D356" s="164" t="s">
        <v>41</v>
      </c>
      <c r="E356" s="327" t="s">
        <v>310</v>
      </c>
      <c r="F356" s="328"/>
      <c r="G356" s="247"/>
      <c r="H356" s="199" t="s">
        <v>597</v>
      </c>
      <c r="I356" s="199" t="s">
        <v>316</v>
      </c>
      <c r="J356" s="247" t="s">
        <v>309</v>
      </c>
      <c r="K356" s="147"/>
    </row>
    <row r="357" spans="2:11" outlineLevel="1">
      <c r="B357" s="160"/>
      <c r="C357" s="130"/>
      <c r="D357" s="132"/>
      <c r="E357" s="321"/>
      <c r="F357" s="322"/>
      <c r="G357" s="225"/>
      <c r="H357" s="191">
        <v>1.48</v>
      </c>
      <c r="I357" s="191">
        <f>J366</f>
        <v>70.63</v>
      </c>
      <c r="J357" s="190">
        <f>ROUND(I357*H357,2)</f>
        <v>104.53</v>
      </c>
      <c r="K357" s="369" t="s">
        <v>655</v>
      </c>
    </row>
    <row r="358" spans="2:11" ht="13" outlineLevel="1">
      <c r="B358" s="160"/>
      <c r="C358" s="130"/>
      <c r="D358" s="132"/>
      <c r="E358" s="321"/>
      <c r="F358" s="322"/>
      <c r="G358" s="225"/>
      <c r="H358" s="191"/>
      <c r="I358" s="193" t="s">
        <v>529</v>
      </c>
      <c r="J358" s="376">
        <f>SUM(J357)</f>
        <v>104.53</v>
      </c>
      <c r="K358" s="134"/>
    </row>
    <row r="359" spans="2:11" outlineLevel="1">
      <c r="B359" s="161"/>
      <c r="C359" s="137"/>
      <c r="D359" s="162"/>
      <c r="E359" s="329"/>
      <c r="F359" s="330"/>
      <c r="G359" s="248"/>
      <c r="H359" s="197"/>
      <c r="I359" s="197"/>
      <c r="J359" s="248"/>
      <c r="K359" s="139"/>
    </row>
    <row r="360" spans="2:11" ht="25" outlineLevel="1">
      <c r="B360" s="163" t="s">
        <v>138</v>
      </c>
      <c r="C360" s="239">
        <v>103675</v>
      </c>
      <c r="D360" s="240" t="s">
        <v>41</v>
      </c>
      <c r="E360" s="264" t="s">
        <v>307</v>
      </c>
      <c r="F360" s="338"/>
      <c r="G360" s="247"/>
      <c r="H360" s="199" t="s">
        <v>316</v>
      </c>
      <c r="I360" s="199" t="s">
        <v>532</v>
      </c>
      <c r="J360" s="247" t="s">
        <v>319</v>
      </c>
      <c r="K360" s="147"/>
    </row>
    <row r="361" spans="2:11" outlineLevel="1">
      <c r="B361" s="160"/>
      <c r="C361" s="226"/>
      <c r="D361" s="227"/>
      <c r="E361" s="258"/>
      <c r="F361" s="335"/>
      <c r="G361" s="225"/>
      <c r="H361" s="191">
        <f>J365</f>
        <v>70.63</v>
      </c>
      <c r="I361" s="191">
        <v>0.08</v>
      </c>
      <c r="J361" s="190">
        <f>ROUND(I361*H361,2)</f>
        <v>5.65</v>
      </c>
      <c r="K361" s="369" t="s">
        <v>655</v>
      </c>
    </row>
    <row r="362" spans="2:11" ht="13" outlineLevel="1">
      <c r="B362" s="160"/>
      <c r="C362" s="226"/>
      <c r="D362" s="227"/>
      <c r="E362" s="258"/>
      <c r="F362" s="335"/>
      <c r="G362" s="225"/>
      <c r="H362" s="191"/>
      <c r="I362" s="193" t="s">
        <v>529</v>
      </c>
      <c r="J362" s="376">
        <f>SUM(J361)</f>
        <v>5.65</v>
      </c>
      <c r="K362" s="134"/>
    </row>
    <row r="363" spans="2:11" outlineLevel="1">
      <c r="B363" s="161"/>
      <c r="C363" s="244"/>
      <c r="D363" s="245"/>
      <c r="E363" s="266"/>
      <c r="F363" s="339"/>
      <c r="G363" s="248"/>
      <c r="H363" s="197"/>
      <c r="I363" s="197"/>
      <c r="J363" s="248"/>
      <c r="K363" s="139"/>
    </row>
    <row r="364" spans="2:11" ht="37.5" outlineLevel="1">
      <c r="B364" s="163" t="s">
        <v>139</v>
      </c>
      <c r="C364" s="164">
        <v>87630</v>
      </c>
      <c r="D364" s="150" t="s">
        <v>41</v>
      </c>
      <c r="E364" s="327" t="s">
        <v>331</v>
      </c>
      <c r="F364" s="328"/>
      <c r="G364" s="186"/>
      <c r="H364" s="199" t="s">
        <v>524</v>
      </c>
      <c r="I364" s="199" t="s">
        <v>525</v>
      </c>
      <c r="J364" s="186" t="s">
        <v>316</v>
      </c>
      <c r="K364" s="147"/>
    </row>
    <row r="365" spans="2:11" outlineLevel="1">
      <c r="B365" s="160"/>
      <c r="C365" s="132"/>
      <c r="D365" s="130"/>
      <c r="E365" s="321"/>
      <c r="F365" s="322"/>
      <c r="G365" s="190"/>
      <c r="H365" s="191">
        <v>19.350000000000001</v>
      </c>
      <c r="I365" s="191">
        <v>3.65</v>
      </c>
      <c r="J365" s="190">
        <f>ROUND(I365*H365,2)</f>
        <v>70.63</v>
      </c>
      <c r="K365" s="369" t="s">
        <v>655</v>
      </c>
    </row>
    <row r="366" spans="2:11" ht="13" outlineLevel="1">
      <c r="B366" s="160"/>
      <c r="C366" s="132"/>
      <c r="D366" s="130"/>
      <c r="E366" s="321"/>
      <c r="F366" s="322"/>
      <c r="G366" s="190"/>
      <c r="H366" s="191"/>
      <c r="I366" s="193" t="s">
        <v>529</v>
      </c>
      <c r="J366" s="376">
        <f>SUM(J365)</f>
        <v>70.63</v>
      </c>
      <c r="K366" s="134"/>
    </row>
    <row r="367" spans="2:11" outlineLevel="1">
      <c r="B367" s="161"/>
      <c r="C367" s="162"/>
      <c r="D367" s="137"/>
      <c r="E367" s="329"/>
      <c r="F367" s="330"/>
      <c r="G367" s="196"/>
      <c r="H367" s="197"/>
      <c r="I367" s="197"/>
      <c r="J367" s="196"/>
      <c r="K367" s="139"/>
    </row>
    <row r="368" spans="2:11" ht="25" outlineLevel="1">
      <c r="B368" s="163" t="s">
        <v>140</v>
      </c>
      <c r="C368" s="346">
        <v>87256</v>
      </c>
      <c r="D368" s="358" t="s">
        <v>41</v>
      </c>
      <c r="E368" s="264" t="s">
        <v>334</v>
      </c>
      <c r="F368" s="338"/>
      <c r="G368" s="186"/>
      <c r="H368" s="199"/>
      <c r="I368" s="199"/>
      <c r="J368" s="186" t="s">
        <v>316</v>
      </c>
      <c r="K368" s="147"/>
    </row>
    <row r="369" spans="2:11" outlineLevel="1">
      <c r="B369" s="160"/>
      <c r="C369" s="257"/>
      <c r="D369" s="350"/>
      <c r="E369" s="258"/>
      <c r="F369" s="335"/>
      <c r="G369" s="190"/>
      <c r="H369" s="191"/>
      <c r="I369" s="191"/>
      <c r="J369" s="190">
        <v>51.28</v>
      </c>
      <c r="K369" s="369" t="s">
        <v>601</v>
      </c>
    </row>
    <row r="370" spans="2:11" outlineLevel="1">
      <c r="B370" s="160"/>
      <c r="C370" s="257"/>
      <c r="D370" s="350"/>
      <c r="E370" s="258"/>
      <c r="F370" s="335"/>
      <c r="G370" s="190"/>
      <c r="H370" s="191"/>
      <c r="I370" s="191"/>
      <c r="J370" s="190">
        <v>3.92</v>
      </c>
      <c r="K370" s="369" t="s">
        <v>609</v>
      </c>
    </row>
    <row r="371" spans="2:11" ht="13" outlineLevel="1">
      <c r="B371" s="160"/>
      <c r="C371" s="257"/>
      <c r="D371" s="350"/>
      <c r="E371" s="258"/>
      <c r="F371" s="335"/>
      <c r="G371" s="190"/>
      <c r="H371" s="191"/>
      <c r="I371" s="193" t="s">
        <v>529</v>
      </c>
      <c r="J371" s="376">
        <f>SUM(J369:J370)</f>
        <v>55.2</v>
      </c>
      <c r="K371" s="369"/>
    </row>
    <row r="372" spans="2:11" outlineLevel="1">
      <c r="B372" s="161"/>
      <c r="C372" s="348"/>
      <c r="D372" s="359"/>
      <c r="E372" s="266"/>
      <c r="F372" s="339"/>
      <c r="G372" s="196"/>
      <c r="H372" s="197"/>
      <c r="I372" s="197"/>
      <c r="J372" s="196"/>
      <c r="K372" s="457"/>
    </row>
    <row r="373" spans="2:11" outlineLevel="1">
      <c r="B373" s="163" t="s">
        <v>332</v>
      </c>
      <c r="C373" s="164">
        <v>98689</v>
      </c>
      <c r="D373" s="358" t="s">
        <v>41</v>
      </c>
      <c r="E373" s="327" t="s">
        <v>335</v>
      </c>
      <c r="F373" s="328"/>
      <c r="G373" s="186"/>
      <c r="H373" s="199" t="s">
        <v>33</v>
      </c>
      <c r="I373" s="186" t="s">
        <v>318</v>
      </c>
      <c r="J373" s="186" t="s">
        <v>318</v>
      </c>
      <c r="K373" s="458"/>
    </row>
    <row r="374" spans="2:11" outlineLevel="1">
      <c r="B374" s="160"/>
      <c r="C374" s="132"/>
      <c r="D374" s="350"/>
      <c r="E374" s="321"/>
      <c r="F374" s="322"/>
      <c r="G374" s="190"/>
      <c r="H374" s="191">
        <v>3</v>
      </c>
      <c r="I374" s="190">
        <v>0.94</v>
      </c>
      <c r="J374" s="190">
        <f>ROUND(I374*H374,2)</f>
        <v>2.82</v>
      </c>
      <c r="K374" s="369" t="s">
        <v>610</v>
      </c>
    </row>
    <row r="375" spans="2:11" ht="13" outlineLevel="1">
      <c r="B375" s="160"/>
      <c r="C375" s="132"/>
      <c r="D375" s="350"/>
      <c r="E375" s="321"/>
      <c r="F375" s="322"/>
      <c r="G375" s="190"/>
      <c r="H375" s="191"/>
      <c r="I375" s="193" t="s">
        <v>529</v>
      </c>
      <c r="J375" s="376">
        <f>SUM(J374)</f>
        <v>2.82</v>
      </c>
      <c r="K375" s="369"/>
    </row>
    <row r="376" spans="2:11" outlineLevel="1">
      <c r="B376" s="161"/>
      <c r="C376" s="162"/>
      <c r="D376" s="359"/>
      <c r="E376" s="329"/>
      <c r="F376" s="330"/>
      <c r="G376" s="196"/>
      <c r="H376" s="197"/>
      <c r="I376" s="197"/>
      <c r="J376" s="196"/>
      <c r="K376" s="139"/>
    </row>
    <row r="377" spans="2:11" ht="13" outlineLevel="1">
      <c r="B377" s="353" t="s">
        <v>36</v>
      </c>
      <c r="C377" s="354"/>
      <c r="D377" s="309"/>
      <c r="E377" s="355" t="s">
        <v>51</v>
      </c>
      <c r="F377" s="356"/>
      <c r="G377" s="302"/>
      <c r="H377" s="254"/>
      <c r="I377" s="254"/>
      <c r="J377" s="302"/>
      <c r="K377" s="255"/>
    </row>
    <row r="378" spans="2:11" ht="25" outlineLevel="1">
      <c r="B378" s="163" t="s">
        <v>141</v>
      </c>
      <c r="C378" s="360">
        <v>94990</v>
      </c>
      <c r="D378" s="347" t="s">
        <v>41</v>
      </c>
      <c r="E378" s="327" t="s">
        <v>336</v>
      </c>
      <c r="F378" s="328"/>
      <c r="G378" s="186" t="s">
        <v>524</v>
      </c>
      <c r="H378" s="199" t="s">
        <v>525</v>
      </c>
      <c r="I378" s="199" t="s">
        <v>532</v>
      </c>
      <c r="J378" s="186" t="s">
        <v>319</v>
      </c>
      <c r="K378" s="147"/>
    </row>
    <row r="379" spans="2:11" outlineLevel="1">
      <c r="B379" s="160"/>
      <c r="C379" s="351"/>
      <c r="D379" s="344"/>
      <c r="E379" s="321"/>
      <c r="F379" s="322"/>
      <c r="G379" s="190">
        <f>20+23.03+35</f>
        <v>78.03</v>
      </c>
      <c r="H379" s="191">
        <v>1</v>
      </c>
      <c r="I379" s="191">
        <v>0.06</v>
      </c>
      <c r="J379" s="190">
        <f>ROUND(I379*H379*G379,2)</f>
        <v>4.68</v>
      </c>
      <c r="K379" s="369" t="s">
        <v>654</v>
      </c>
    </row>
    <row r="380" spans="2:11" ht="13" outlineLevel="1">
      <c r="B380" s="160"/>
      <c r="C380" s="351"/>
      <c r="D380" s="344"/>
      <c r="E380" s="321"/>
      <c r="F380" s="322"/>
      <c r="G380" s="190"/>
      <c r="H380" s="191"/>
      <c r="I380" s="193" t="s">
        <v>529</v>
      </c>
      <c r="J380" s="376">
        <f>SUM(J379)</f>
        <v>4.68</v>
      </c>
      <c r="K380" s="134"/>
    </row>
    <row r="381" spans="2:11" outlineLevel="1">
      <c r="B381" s="160"/>
      <c r="C381" s="351"/>
      <c r="D381" s="344"/>
      <c r="E381" s="321"/>
      <c r="F381" s="322"/>
      <c r="G381" s="190"/>
      <c r="H381" s="191"/>
      <c r="I381" s="191"/>
      <c r="J381" s="190"/>
      <c r="K381" s="134"/>
    </row>
    <row r="382" spans="2:11" outlineLevel="1">
      <c r="B382" s="161"/>
      <c r="C382" s="361"/>
      <c r="D382" s="349"/>
      <c r="E382" s="329"/>
      <c r="F382" s="330"/>
      <c r="G382" s="196"/>
      <c r="H382" s="197"/>
      <c r="I382" s="197"/>
      <c r="J382" s="196"/>
      <c r="K382" s="139"/>
    </row>
    <row r="383" spans="2:11" ht="37.5" outlineLevel="1">
      <c r="B383" s="163" t="s">
        <v>142</v>
      </c>
      <c r="C383" s="240">
        <v>105001</v>
      </c>
      <c r="D383" s="240" t="s">
        <v>41</v>
      </c>
      <c r="E383" s="151" t="s">
        <v>337</v>
      </c>
      <c r="F383" s="216"/>
      <c r="G383" s="362"/>
      <c r="H383" s="199"/>
      <c r="I383" s="199"/>
      <c r="J383" s="362" t="s">
        <v>318</v>
      </c>
      <c r="K383" s="147"/>
    </row>
    <row r="384" spans="2:11" outlineLevel="1">
      <c r="B384" s="160"/>
      <c r="C384" s="227"/>
      <c r="D384" s="227"/>
      <c r="E384" s="131"/>
      <c r="F384" s="208"/>
      <c r="G384" s="352"/>
      <c r="H384" s="191"/>
      <c r="I384" s="191"/>
      <c r="J384" s="192">
        <v>6</v>
      </c>
      <c r="K384" s="369" t="s">
        <v>652</v>
      </c>
    </row>
    <row r="385" spans="2:11" outlineLevel="1">
      <c r="B385" s="160"/>
      <c r="C385" s="227"/>
      <c r="D385" s="227"/>
      <c r="E385" s="131"/>
      <c r="F385" s="208"/>
      <c r="G385" s="352"/>
      <c r="H385" s="191"/>
      <c r="I385" s="191"/>
      <c r="J385" s="192">
        <v>6</v>
      </c>
      <c r="K385" s="369" t="s">
        <v>653</v>
      </c>
    </row>
    <row r="386" spans="2:11" ht="13" outlineLevel="1">
      <c r="B386" s="160"/>
      <c r="C386" s="227"/>
      <c r="D386" s="227"/>
      <c r="E386" s="131"/>
      <c r="F386" s="208"/>
      <c r="G386" s="352"/>
      <c r="H386" s="191"/>
      <c r="I386" s="193" t="s">
        <v>529</v>
      </c>
      <c r="J386" s="376">
        <f>SUM(J384:J385)</f>
        <v>12</v>
      </c>
      <c r="K386" s="134"/>
    </row>
    <row r="387" spans="2:11" outlineLevel="1">
      <c r="B387" s="161"/>
      <c r="C387" s="245"/>
      <c r="D387" s="245"/>
      <c r="E387" s="138"/>
      <c r="F387" s="209"/>
      <c r="G387" s="363"/>
      <c r="H387" s="197"/>
      <c r="I387" s="197"/>
      <c r="J387" s="198"/>
      <c r="K387" s="139"/>
    </row>
    <row r="388" spans="2:11" ht="20.149999999999999" customHeight="1">
      <c r="B388" s="2"/>
      <c r="C388" s="2"/>
      <c r="D388" s="2"/>
      <c r="E388" s="2"/>
      <c r="F388" s="217"/>
      <c r="G388" s="218"/>
      <c r="H388" s="218"/>
      <c r="I388" s="166"/>
      <c r="J388" s="166"/>
      <c r="K388" s="27"/>
    </row>
    <row r="389" spans="2:11" ht="20.149999999999999" customHeight="1">
      <c r="B389" s="156">
        <v>11</v>
      </c>
      <c r="C389" s="157"/>
      <c r="D389" s="157"/>
      <c r="E389" s="291" t="s">
        <v>232</v>
      </c>
      <c r="F389" s="296"/>
      <c r="G389" s="182"/>
      <c r="H389" s="183"/>
      <c r="I389" s="184"/>
      <c r="J389" s="184"/>
      <c r="K389" s="145"/>
    </row>
    <row r="390" spans="2:11" ht="25" outlineLevel="1">
      <c r="B390" s="163" t="s">
        <v>25</v>
      </c>
      <c r="C390" s="164">
        <v>88494</v>
      </c>
      <c r="D390" s="347" t="s">
        <v>41</v>
      </c>
      <c r="E390" s="327" t="s">
        <v>342</v>
      </c>
      <c r="F390" s="328"/>
      <c r="G390" s="186"/>
      <c r="H390" s="199"/>
      <c r="I390" s="199"/>
      <c r="J390" s="186" t="s">
        <v>316</v>
      </c>
      <c r="K390" s="147"/>
    </row>
    <row r="391" spans="2:11" outlineLevel="1">
      <c r="B391" s="160"/>
      <c r="C391" s="132"/>
      <c r="D391" s="344"/>
      <c r="E391" s="321"/>
      <c r="F391" s="322"/>
      <c r="G391" s="190"/>
      <c r="H391" s="191"/>
      <c r="I391" s="191"/>
      <c r="J391" s="190">
        <v>51.28</v>
      </c>
      <c r="K391" s="369" t="s">
        <v>601</v>
      </c>
    </row>
    <row r="392" spans="2:11" outlineLevel="1">
      <c r="B392" s="160"/>
      <c r="C392" s="132"/>
      <c r="D392" s="344"/>
      <c r="E392" s="321"/>
      <c r="F392" s="322"/>
      <c r="G392" s="190"/>
      <c r="H392" s="191"/>
      <c r="I392" s="191"/>
      <c r="J392" s="190">
        <v>3.92</v>
      </c>
      <c r="K392" s="369" t="s">
        <v>609</v>
      </c>
    </row>
    <row r="393" spans="2:11" ht="13" outlineLevel="1">
      <c r="B393" s="305"/>
      <c r="C393" s="306"/>
      <c r="D393" s="365"/>
      <c r="E393" s="366"/>
      <c r="F393" s="367"/>
      <c r="G393" s="201"/>
      <c r="H393" s="202"/>
      <c r="I393" s="193" t="s">
        <v>529</v>
      </c>
      <c r="J393" s="376">
        <f>SUM(J391:J392)</f>
        <v>55.2</v>
      </c>
      <c r="K393" s="369"/>
    </row>
    <row r="394" spans="2:11" ht="13" outlineLevel="1">
      <c r="B394" s="161"/>
      <c r="C394" s="162"/>
      <c r="D394" s="349"/>
      <c r="E394" s="329"/>
      <c r="F394" s="330"/>
      <c r="G394" s="196"/>
      <c r="H394" s="197"/>
      <c r="I394" s="193"/>
      <c r="J394" s="376"/>
      <c r="K394" s="369"/>
    </row>
    <row r="395" spans="2:11" ht="25" outlineLevel="1">
      <c r="B395" s="163" t="s">
        <v>26</v>
      </c>
      <c r="C395" s="164">
        <v>88495</v>
      </c>
      <c r="D395" s="347" t="s">
        <v>41</v>
      </c>
      <c r="E395" s="327" t="s">
        <v>343</v>
      </c>
      <c r="F395" s="328"/>
      <c r="G395" s="186"/>
      <c r="H395" s="199" t="s">
        <v>530</v>
      </c>
      <c r="I395" s="199" t="s">
        <v>531</v>
      </c>
      <c r="J395" s="186" t="s">
        <v>316</v>
      </c>
      <c r="K395" s="147"/>
    </row>
    <row r="396" spans="2:11" outlineLevel="1">
      <c r="B396" s="160"/>
      <c r="C396" s="132"/>
      <c r="D396" s="344"/>
      <c r="E396" s="321"/>
      <c r="F396" s="322"/>
      <c r="G396" s="190"/>
      <c r="H396" s="191">
        <v>47.6</v>
      </c>
      <c r="I396" s="191">
        <v>1.9</v>
      </c>
      <c r="J396" s="190">
        <f>ROUND(I396*H396,2)</f>
        <v>90.44</v>
      </c>
      <c r="K396" s="369" t="s">
        <v>656</v>
      </c>
    </row>
    <row r="397" spans="2:11" ht="13" outlineLevel="1">
      <c r="B397" s="160"/>
      <c r="C397" s="132"/>
      <c r="D397" s="344"/>
      <c r="E397" s="321"/>
      <c r="F397" s="322"/>
      <c r="G397" s="190"/>
      <c r="H397" s="191"/>
      <c r="I397" s="193" t="s">
        <v>529</v>
      </c>
      <c r="J397" s="376">
        <f>SUM(J395:J396)</f>
        <v>90.44</v>
      </c>
      <c r="K397" s="369"/>
    </row>
    <row r="398" spans="2:11" outlineLevel="1">
      <c r="B398" s="161"/>
      <c r="C398" s="162"/>
      <c r="D398" s="349"/>
      <c r="E398" s="329"/>
      <c r="F398" s="330"/>
      <c r="G398" s="196"/>
      <c r="H398" s="197"/>
      <c r="I398" s="197"/>
      <c r="J398" s="196"/>
      <c r="K398" s="139"/>
    </row>
    <row r="399" spans="2:11" outlineLevel="1">
      <c r="B399" s="163" t="s">
        <v>27</v>
      </c>
      <c r="C399" s="164">
        <v>88484</v>
      </c>
      <c r="D399" s="347" t="s">
        <v>41</v>
      </c>
      <c r="E399" s="327" t="s">
        <v>339</v>
      </c>
      <c r="F399" s="328"/>
      <c r="G399" s="186"/>
      <c r="H399" s="199"/>
      <c r="I399" s="199"/>
      <c r="J399" s="186" t="s">
        <v>316</v>
      </c>
      <c r="K399" s="147"/>
    </row>
    <row r="400" spans="2:11" outlineLevel="1">
      <c r="B400" s="160"/>
      <c r="C400" s="132"/>
      <c r="D400" s="344"/>
      <c r="E400" s="321"/>
      <c r="F400" s="322"/>
      <c r="G400" s="190"/>
      <c r="H400" s="191"/>
      <c r="I400" s="191"/>
      <c r="J400" s="190">
        <v>51.28</v>
      </c>
      <c r="K400" s="369" t="s">
        <v>601</v>
      </c>
    </row>
    <row r="401" spans="2:11" outlineLevel="1">
      <c r="B401" s="160"/>
      <c r="C401" s="132"/>
      <c r="D401" s="344"/>
      <c r="E401" s="321"/>
      <c r="F401" s="322"/>
      <c r="G401" s="190"/>
      <c r="H401" s="191"/>
      <c r="I401" s="191"/>
      <c r="J401" s="190">
        <v>3.92</v>
      </c>
      <c r="K401" s="369" t="s">
        <v>609</v>
      </c>
    </row>
    <row r="402" spans="2:11" ht="13" outlineLevel="1">
      <c r="B402" s="160"/>
      <c r="C402" s="132"/>
      <c r="D402" s="344"/>
      <c r="E402" s="321"/>
      <c r="F402" s="322"/>
      <c r="G402" s="190"/>
      <c r="H402" s="191"/>
      <c r="I402" s="193" t="s">
        <v>529</v>
      </c>
      <c r="J402" s="376">
        <f>SUM(J400:J401)</f>
        <v>55.2</v>
      </c>
      <c r="K402" s="369"/>
    </row>
    <row r="403" spans="2:11" outlineLevel="1">
      <c r="B403" s="161"/>
      <c r="C403" s="162"/>
      <c r="D403" s="349"/>
      <c r="E403" s="329"/>
      <c r="F403" s="330"/>
      <c r="G403" s="196"/>
      <c r="H403" s="197"/>
      <c r="I403" s="197"/>
      <c r="J403" s="196"/>
      <c r="K403" s="139"/>
    </row>
    <row r="404" spans="2:11" outlineLevel="1">
      <c r="B404" s="163" t="s">
        <v>66</v>
      </c>
      <c r="C404" s="164">
        <v>88485</v>
      </c>
      <c r="D404" s="347" t="s">
        <v>41</v>
      </c>
      <c r="E404" s="327" t="s">
        <v>340</v>
      </c>
      <c r="F404" s="328"/>
      <c r="G404" s="186"/>
      <c r="H404" s="199" t="s">
        <v>530</v>
      </c>
      <c r="I404" s="199" t="s">
        <v>531</v>
      </c>
      <c r="J404" s="186" t="s">
        <v>316</v>
      </c>
      <c r="K404" s="147"/>
    </row>
    <row r="405" spans="2:11" outlineLevel="1">
      <c r="B405" s="159"/>
      <c r="C405" s="155"/>
      <c r="D405" s="345"/>
      <c r="E405" s="325"/>
      <c r="F405" s="326"/>
      <c r="G405" s="295"/>
      <c r="H405" s="191">
        <v>57</v>
      </c>
      <c r="I405" s="191">
        <v>2.9</v>
      </c>
      <c r="J405" s="190">
        <f>ROUND(I405*H405,2)</f>
        <v>165.3</v>
      </c>
      <c r="K405" s="369" t="s">
        <v>611</v>
      </c>
    </row>
    <row r="406" spans="2:11" outlineLevel="1">
      <c r="B406" s="159"/>
      <c r="C406" s="155"/>
      <c r="D406" s="345"/>
      <c r="E406" s="325"/>
      <c r="F406" s="326"/>
      <c r="G406" s="295"/>
      <c r="H406" s="191">
        <v>47.6</v>
      </c>
      <c r="I406" s="191">
        <v>2.9</v>
      </c>
      <c r="J406" s="190">
        <f t="shared" ref="J406:J411" si="26">ROUND(I406*H406,2)</f>
        <v>138.04</v>
      </c>
      <c r="K406" s="369" t="s">
        <v>650</v>
      </c>
    </row>
    <row r="407" spans="2:11" outlineLevel="1">
      <c r="B407" s="159"/>
      <c r="C407" s="155"/>
      <c r="D407" s="345"/>
      <c r="E407" s="325"/>
      <c r="F407" s="326"/>
      <c r="G407" s="295"/>
      <c r="H407" s="191">
        <v>51.62</v>
      </c>
      <c r="I407" s="191">
        <v>1.9</v>
      </c>
      <c r="J407" s="190">
        <f t="shared" si="26"/>
        <v>98.08</v>
      </c>
      <c r="K407" s="369" t="s">
        <v>612</v>
      </c>
    </row>
    <row r="408" spans="2:11" outlineLevel="1">
      <c r="B408" s="159"/>
      <c r="C408" s="155"/>
      <c r="D408" s="345"/>
      <c r="E408" s="325"/>
      <c r="F408" s="326"/>
      <c r="G408" s="295"/>
      <c r="H408" s="191">
        <v>47.6</v>
      </c>
      <c r="I408" s="191">
        <v>1</v>
      </c>
      <c r="J408" s="190">
        <f t="shared" si="26"/>
        <v>47.6</v>
      </c>
      <c r="K408" s="369" t="s">
        <v>614</v>
      </c>
    </row>
    <row r="409" spans="2:11" outlineLevel="1">
      <c r="B409" s="159"/>
      <c r="C409" s="155"/>
      <c r="D409" s="345"/>
      <c r="E409" s="325"/>
      <c r="F409" s="326"/>
      <c r="G409" s="295"/>
      <c r="H409" s="191">
        <f>(29.85+19.35+29.85)*2</f>
        <v>158.10000000000002</v>
      </c>
      <c r="I409" s="191">
        <v>1</v>
      </c>
      <c r="J409" s="190">
        <f t="shared" si="26"/>
        <v>158.1</v>
      </c>
      <c r="K409" s="369" t="s">
        <v>602</v>
      </c>
    </row>
    <row r="410" spans="2:11" outlineLevel="1">
      <c r="B410" s="159"/>
      <c r="C410" s="155"/>
      <c r="D410" s="345"/>
      <c r="E410" s="325"/>
      <c r="F410" s="326"/>
      <c r="G410" s="295"/>
      <c r="H410" s="191">
        <f>23.03*2</f>
        <v>46.06</v>
      </c>
      <c r="I410" s="191">
        <v>6</v>
      </c>
      <c r="J410" s="190">
        <f t="shared" si="26"/>
        <v>276.36</v>
      </c>
      <c r="K410" s="369" t="s">
        <v>651</v>
      </c>
    </row>
    <row r="411" spans="2:11" outlineLevel="1">
      <c r="B411" s="160"/>
      <c r="C411" s="132"/>
      <c r="D411" s="344"/>
      <c r="E411" s="321"/>
      <c r="F411" s="322"/>
      <c r="G411" s="190"/>
      <c r="H411" s="191">
        <f>34.8+26.85</f>
        <v>61.65</v>
      </c>
      <c r="I411" s="191">
        <v>1.5</v>
      </c>
      <c r="J411" s="190">
        <f t="shared" si="26"/>
        <v>92.48</v>
      </c>
      <c r="K411" s="369" t="s">
        <v>603</v>
      </c>
    </row>
    <row r="412" spans="2:11" ht="13" outlineLevel="1">
      <c r="B412" s="160"/>
      <c r="C412" s="132"/>
      <c r="D412" s="344"/>
      <c r="E412" s="321"/>
      <c r="F412" s="322"/>
      <c r="G412" s="190"/>
      <c r="H412" s="191"/>
      <c r="I412" s="193" t="s">
        <v>529</v>
      </c>
      <c r="J412" s="376">
        <f>SUM(J405:J411)</f>
        <v>975.96</v>
      </c>
      <c r="K412" s="369"/>
    </row>
    <row r="413" spans="2:11" outlineLevel="1">
      <c r="B413" s="161"/>
      <c r="C413" s="162"/>
      <c r="D413" s="349"/>
      <c r="E413" s="329"/>
      <c r="F413" s="330"/>
      <c r="G413" s="196"/>
      <c r="H413" s="197"/>
      <c r="I413" s="197"/>
      <c r="J413" s="196"/>
      <c r="K413" s="139"/>
    </row>
    <row r="414" spans="2:11" outlineLevel="1">
      <c r="B414" s="260" t="s">
        <v>39</v>
      </c>
      <c r="C414" s="155">
        <v>88488</v>
      </c>
      <c r="D414" s="345" t="s">
        <v>41</v>
      </c>
      <c r="E414" s="325" t="s">
        <v>341</v>
      </c>
      <c r="F414" s="326"/>
      <c r="G414" s="295"/>
      <c r="H414" s="262"/>
      <c r="I414" s="199"/>
      <c r="J414" s="186" t="s">
        <v>316</v>
      </c>
      <c r="K414" s="147"/>
    </row>
    <row r="415" spans="2:11" outlineLevel="1">
      <c r="B415" s="257"/>
      <c r="C415" s="132"/>
      <c r="D415" s="344"/>
      <c r="E415" s="321"/>
      <c r="F415" s="322"/>
      <c r="G415" s="190"/>
      <c r="H415" s="191"/>
      <c r="I415" s="191"/>
      <c r="J415" s="190">
        <v>51.28</v>
      </c>
      <c r="K415" s="369" t="s">
        <v>601</v>
      </c>
    </row>
    <row r="416" spans="2:11" outlineLevel="1">
      <c r="B416" s="257"/>
      <c r="C416" s="132"/>
      <c r="D416" s="344"/>
      <c r="E416" s="321"/>
      <c r="F416" s="322"/>
      <c r="G416" s="190"/>
      <c r="H416" s="191"/>
      <c r="I416" s="191"/>
      <c r="J416" s="190">
        <v>3.92</v>
      </c>
      <c r="K416" s="369" t="s">
        <v>609</v>
      </c>
    </row>
    <row r="417" spans="2:11" ht="13" outlineLevel="1">
      <c r="B417" s="257"/>
      <c r="C417" s="132"/>
      <c r="D417" s="344"/>
      <c r="E417" s="321"/>
      <c r="F417" s="322"/>
      <c r="G417" s="190"/>
      <c r="H417" s="191"/>
      <c r="I417" s="193" t="s">
        <v>529</v>
      </c>
      <c r="J417" s="376">
        <f>SUM(J415:J416)</f>
        <v>55.2</v>
      </c>
      <c r="K417" s="369"/>
    </row>
    <row r="418" spans="2:11" outlineLevel="1">
      <c r="B418" s="364"/>
      <c r="C418" s="306"/>
      <c r="D418" s="365"/>
      <c r="E418" s="366"/>
      <c r="F418" s="367"/>
      <c r="G418" s="201"/>
      <c r="H418" s="202"/>
      <c r="I418" s="202"/>
      <c r="J418" s="201"/>
      <c r="K418" s="368"/>
    </row>
    <row r="419" spans="2:11" ht="25" outlineLevel="1">
      <c r="B419" s="163" t="s">
        <v>100</v>
      </c>
      <c r="C419" s="164">
        <v>88489</v>
      </c>
      <c r="D419" s="347" t="s">
        <v>41</v>
      </c>
      <c r="E419" s="327" t="s">
        <v>338</v>
      </c>
      <c r="F419" s="328"/>
      <c r="G419" s="186"/>
      <c r="H419" s="199" t="s">
        <v>530</v>
      </c>
      <c r="I419" s="199" t="s">
        <v>531</v>
      </c>
      <c r="J419" s="186" t="s">
        <v>316</v>
      </c>
      <c r="K419" s="147"/>
    </row>
    <row r="420" spans="2:11" outlineLevel="1">
      <c r="B420" s="159"/>
      <c r="C420" s="155"/>
      <c r="D420" s="345"/>
      <c r="E420" s="325"/>
      <c r="F420" s="326"/>
      <c r="G420" s="295"/>
      <c r="H420" s="191">
        <v>57</v>
      </c>
      <c r="I420" s="191">
        <v>2.9</v>
      </c>
      <c r="J420" s="190">
        <f>ROUND(I420*H420,2)</f>
        <v>165.3</v>
      </c>
      <c r="K420" s="369" t="s">
        <v>611</v>
      </c>
    </row>
    <row r="421" spans="2:11" outlineLevel="1">
      <c r="B421" s="159"/>
      <c r="C421" s="155"/>
      <c r="D421" s="345"/>
      <c r="E421" s="325"/>
      <c r="F421" s="326"/>
      <c r="G421" s="295"/>
      <c r="H421" s="191">
        <v>47.6</v>
      </c>
      <c r="I421" s="191">
        <v>2.9</v>
      </c>
      <c r="J421" s="190">
        <f t="shared" ref="J421:J426" si="27">ROUND(I421*H421,2)</f>
        <v>138.04</v>
      </c>
      <c r="K421" s="369" t="s">
        <v>650</v>
      </c>
    </row>
    <row r="422" spans="2:11" outlineLevel="1">
      <c r="B422" s="159"/>
      <c r="C422" s="155"/>
      <c r="D422" s="345"/>
      <c r="E422" s="325"/>
      <c r="F422" s="326"/>
      <c r="G422" s="295"/>
      <c r="H422" s="191">
        <v>51.62</v>
      </c>
      <c r="I422" s="191">
        <v>1.9</v>
      </c>
      <c r="J422" s="190">
        <f t="shared" si="27"/>
        <v>98.08</v>
      </c>
      <c r="K422" s="369" t="s">
        <v>612</v>
      </c>
    </row>
    <row r="423" spans="2:11" outlineLevel="1">
      <c r="B423" s="159"/>
      <c r="C423" s="155"/>
      <c r="D423" s="345"/>
      <c r="E423" s="325"/>
      <c r="F423" s="326"/>
      <c r="G423" s="295"/>
      <c r="H423" s="191">
        <v>47.6</v>
      </c>
      <c r="I423" s="191">
        <v>1</v>
      </c>
      <c r="J423" s="190">
        <f t="shared" si="27"/>
        <v>47.6</v>
      </c>
      <c r="K423" s="369" t="s">
        <v>614</v>
      </c>
    </row>
    <row r="424" spans="2:11" outlineLevel="1">
      <c r="B424" s="159"/>
      <c r="C424" s="155"/>
      <c r="D424" s="345"/>
      <c r="E424" s="325"/>
      <c r="F424" s="326"/>
      <c r="G424" s="295"/>
      <c r="H424" s="191">
        <f>(29.85+19.35+29.85)*2</f>
        <v>158.10000000000002</v>
      </c>
      <c r="I424" s="191">
        <v>1</v>
      </c>
      <c r="J424" s="190">
        <f t="shared" si="27"/>
        <v>158.1</v>
      </c>
      <c r="K424" s="369" t="s">
        <v>602</v>
      </c>
    </row>
    <row r="425" spans="2:11" outlineLevel="1">
      <c r="B425" s="159"/>
      <c r="C425" s="155"/>
      <c r="D425" s="345"/>
      <c r="E425" s="325"/>
      <c r="F425" s="326"/>
      <c r="G425" s="295"/>
      <c r="H425" s="191">
        <f>23.03*2</f>
        <v>46.06</v>
      </c>
      <c r="I425" s="191">
        <v>6</v>
      </c>
      <c r="J425" s="190">
        <f t="shared" si="27"/>
        <v>276.36</v>
      </c>
      <c r="K425" s="369" t="s">
        <v>651</v>
      </c>
    </row>
    <row r="426" spans="2:11" outlineLevel="1">
      <c r="B426" s="160"/>
      <c r="C426" s="132"/>
      <c r="D426" s="344"/>
      <c r="E426" s="321"/>
      <c r="F426" s="322"/>
      <c r="G426" s="190"/>
      <c r="H426" s="191">
        <f>34.8+26.85</f>
        <v>61.65</v>
      </c>
      <c r="I426" s="191">
        <v>1.5</v>
      </c>
      <c r="J426" s="190">
        <f t="shared" si="27"/>
        <v>92.48</v>
      </c>
      <c r="K426" s="369" t="s">
        <v>603</v>
      </c>
    </row>
    <row r="427" spans="2:11" ht="13" outlineLevel="1">
      <c r="B427" s="160"/>
      <c r="C427" s="132"/>
      <c r="D427" s="344"/>
      <c r="E427" s="321"/>
      <c r="F427" s="322"/>
      <c r="G427" s="190"/>
      <c r="H427" s="191"/>
      <c r="I427" s="193" t="s">
        <v>529</v>
      </c>
      <c r="J427" s="376">
        <f>SUM(J420:J426)</f>
        <v>975.96</v>
      </c>
      <c r="K427" s="369"/>
    </row>
    <row r="428" spans="2:11" outlineLevel="1">
      <c r="B428" s="161"/>
      <c r="C428" s="162"/>
      <c r="D428" s="349"/>
      <c r="E428" s="329"/>
      <c r="F428" s="330"/>
      <c r="G428" s="196"/>
      <c r="H428" s="197"/>
      <c r="I428" s="197"/>
      <c r="J428" s="196"/>
      <c r="K428" s="139"/>
    </row>
    <row r="429" spans="2:11" ht="25" outlineLevel="1">
      <c r="B429" s="163" t="s">
        <v>101</v>
      </c>
      <c r="C429" s="164">
        <v>102494</v>
      </c>
      <c r="D429" s="347" t="s">
        <v>41</v>
      </c>
      <c r="E429" s="327" t="s">
        <v>344</v>
      </c>
      <c r="F429" s="328"/>
      <c r="G429" s="186"/>
      <c r="H429" s="199"/>
      <c r="I429" s="199"/>
      <c r="J429" s="186" t="s">
        <v>316</v>
      </c>
      <c r="K429" s="147"/>
    </row>
    <row r="430" spans="2:11" outlineLevel="1">
      <c r="B430" s="160"/>
      <c r="C430" s="132"/>
      <c r="D430" s="344"/>
      <c r="E430" s="321"/>
      <c r="F430" s="322"/>
      <c r="G430" s="190"/>
      <c r="H430" s="191"/>
      <c r="I430" s="191"/>
      <c r="J430" s="190">
        <v>452.24</v>
      </c>
      <c r="K430" s="369" t="s">
        <v>659</v>
      </c>
    </row>
    <row r="431" spans="2:11" ht="13" outlineLevel="1">
      <c r="B431" s="160"/>
      <c r="C431" s="132"/>
      <c r="D431" s="344"/>
      <c r="E431" s="321"/>
      <c r="F431" s="322"/>
      <c r="G431" s="190"/>
      <c r="H431" s="191"/>
      <c r="I431" s="193" t="s">
        <v>529</v>
      </c>
      <c r="J431" s="194">
        <f>SUM(J430)</f>
        <v>452.24</v>
      </c>
      <c r="K431" s="134"/>
    </row>
    <row r="432" spans="2:11" outlineLevel="1">
      <c r="B432" s="161"/>
      <c r="C432" s="162"/>
      <c r="D432" s="349"/>
      <c r="E432" s="329"/>
      <c r="F432" s="330"/>
      <c r="G432" s="196"/>
      <c r="H432" s="197"/>
      <c r="I432" s="197"/>
      <c r="J432" s="196"/>
      <c r="K432" s="139"/>
    </row>
    <row r="433" spans="1:13" ht="25" outlineLevel="1">
      <c r="B433" s="163" t="s">
        <v>243</v>
      </c>
      <c r="C433" s="164">
        <v>102506</v>
      </c>
      <c r="D433" s="347" t="s">
        <v>41</v>
      </c>
      <c r="E433" s="327" t="s">
        <v>345</v>
      </c>
      <c r="F433" s="328"/>
      <c r="G433" s="186"/>
      <c r="H433" s="199"/>
      <c r="I433" s="199"/>
      <c r="J433" s="186" t="s">
        <v>318</v>
      </c>
      <c r="K433" s="147"/>
      <c r="L433" s="93"/>
    </row>
    <row r="434" spans="1:13" outlineLevel="1">
      <c r="B434" s="160"/>
      <c r="C434" s="132"/>
      <c r="D434" s="344"/>
      <c r="E434" s="321"/>
      <c r="F434" s="322"/>
      <c r="G434" s="190"/>
      <c r="H434" s="191"/>
      <c r="I434" s="191"/>
      <c r="J434" s="190">
        <v>275.60000000000002</v>
      </c>
      <c r="K434" s="369" t="s">
        <v>660</v>
      </c>
      <c r="L434" s="93"/>
    </row>
    <row r="435" spans="1:13" ht="13" outlineLevel="1">
      <c r="B435" s="160"/>
      <c r="C435" s="132"/>
      <c r="D435" s="344"/>
      <c r="E435" s="321"/>
      <c r="F435" s="322"/>
      <c r="G435" s="190"/>
      <c r="H435" s="191"/>
      <c r="I435" s="193" t="s">
        <v>529</v>
      </c>
      <c r="J435" s="194">
        <f>SUM(J434)</f>
        <v>275.60000000000002</v>
      </c>
      <c r="K435" s="369" t="s">
        <v>552</v>
      </c>
      <c r="L435" s="93"/>
    </row>
    <row r="436" spans="1:13" outlineLevel="1">
      <c r="B436" s="161"/>
      <c r="C436" s="162"/>
      <c r="D436" s="349"/>
      <c r="E436" s="329"/>
      <c r="F436" s="330"/>
      <c r="G436" s="196"/>
      <c r="H436" s="197"/>
      <c r="I436" s="197"/>
      <c r="J436" s="196"/>
      <c r="K436" s="139"/>
      <c r="L436" s="93"/>
    </row>
    <row r="437" spans="1:13" ht="25" outlineLevel="1">
      <c r="B437" s="163" t="s">
        <v>348</v>
      </c>
      <c r="C437" s="240">
        <v>100729</v>
      </c>
      <c r="D437" s="358" t="s">
        <v>41</v>
      </c>
      <c r="E437" s="264" t="s">
        <v>346</v>
      </c>
      <c r="F437" s="338"/>
      <c r="G437" s="186"/>
      <c r="H437" s="199"/>
      <c r="I437" s="199"/>
      <c r="J437" s="186" t="s">
        <v>316</v>
      </c>
      <c r="K437" s="147"/>
    </row>
    <row r="438" spans="1:13" outlineLevel="1">
      <c r="B438" s="160"/>
      <c r="C438" s="227"/>
      <c r="D438" s="350"/>
      <c r="E438" s="258"/>
      <c r="F438" s="335"/>
      <c r="G438" s="190"/>
      <c r="H438" s="191"/>
      <c r="I438" s="191"/>
      <c r="J438" s="190">
        <v>366.82</v>
      </c>
      <c r="K438" s="369" t="s">
        <v>661</v>
      </c>
    </row>
    <row r="439" spans="1:13" ht="13" outlineLevel="1">
      <c r="B439" s="160"/>
      <c r="C439" s="227"/>
      <c r="D439" s="350"/>
      <c r="E439" s="258"/>
      <c r="F439" s="335"/>
      <c r="G439" s="190"/>
      <c r="H439" s="191"/>
      <c r="I439" s="193" t="s">
        <v>529</v>
      </c>
      <c r="J439" s="194">
        <f>SUM(J438)</f>
        <v>366.82</v>
      </c>
      <c r="K439" s="134"/>
    </row>
    <row r="440" spans="1:13" outlineLevel="1">
      <c r="B440" s="161"/>
      <c r="C440" s="245"/>
      <c r="D440" s="359"/>
      <c r="E440" s="266"/>
      <c r="F440" s="339"/>
      <c r="G440" s="196"/>
      <c r="H440" s="197"/>
      <c r="I440" s="197"/>
      <c r="J440" s="196"/>
      <c r="K440" s="139"/>
    </row>
    <row r="441" spans="1:13" ht="37.5" outlineLevel="1">
      <c r="B441" s="163" t="s">
        <v>349</v>
      </c>
      <c r="C441" s="240">
        <v>100741</v>
      </c>
      <c r="D441" s="358" t="s">
        <v>41</v>
      </c>
      <c r="E441" s="264" t="s">
        <v>347</v>
      </c>
      <c r="F441" s="338"/>
      <c r="G441" s="186"/>
      <c r="H441" s="199"/>
      <c r="I441" s="199"/>
      <c r="J441" s="186" t="s">
        <v>316</v>
      </c>
      <c r="K441" s="147"/>
    </row>
    <row r="442" spans="1:13" outlineLevel="1">
      <c r="B442" s="160"/>
      <c r="C442" s="227"/>
      <c r="D442" s="350"/>
      <c r="E442" s="258"/>
      <c r="F442" s="335"/>
      <c r="G442" s="190"/>
      <c r="H442" s="191"/>
      <c r="I442" s="191"/>
      <c r="J442" s="192">
        <v>50</v>
      </c>
      <c r="K442" s="369" t="s">
        <v>662</v>
      </c>
    </row>
    <row r="443" spans="1:13" ht="13" outlineLevel="1">
      <c r="B443" s="160"/>
      <c r="C443" s="227"/>
      <c r="D443" s="350"/>
      <c r="E443" s="258"/>
      <c r="F443" s="335"/>
      <c r="G443" s="190"/>
      <c r="H443" s="191"/>
      <c r="I443" s="193" t="s">
        <v>529</v>
      </c>
      <c r="J443" s="194">
        <f>SUM(J442)</f>
        <v>50</v>
      </c>
      <c r="K443" s="134"/>
    </row>
    <row r="444" spans="1:13" outlineLevel="1">
      <c r="B444" s="161"/>
      <c r="C444" s="245"/>
      <c r="D444" s="359"/>
      <c r="E444" s="266"/>
      <c r="F444" s="339"/>
      <c r="G444" s="196"/>
      <c r="H444" s="197"/>
      <c r="I444" s="197"/>
      <c r="J444" s="198"/>
      <c r="K444" s="139"/>
    </row>
    <row r="445" spans="1:13" ht="20.149999999999999" customHeight="1">
      <c r="B445" s="2"/>
      <c r="C445" s="2"/>
      <c r="D445" s="2"/>
      <c r="E445" s="2"/>
      <c r="F445" s="217"/>
      <c r="G445" s="218"/>
      <c r="H445" s="218"/>
      <c r="I445" s="166"/>
      <c r="J445" s="166"/>
      <c r="K445" s="27"/>
    </row>
    <row r="446" spans="1:13" ht="13">
      <c r="B446" s="156">
        <v>12</v>
      </c>
      <c r="C446" s="157"/>
      <c r="D446" s="157"/>
      <c r="E446" s="291" t="s">
        <v>233</v>
      </c>
      <c r="F446" s="296"/>
      <c r="G446" s="182"/>
      <c r="H446" s="183"/>
      <c r="I446" s="184"/>
      <c r="J446" s="184"/>
      <c r="K446" s="145" t="s">
        <v>553</v>
      </c>
    </row>
    <row r="447" spans="1:13" s="69" customFormat="1" ht="13" outlineLevel="1">
      <c r="A447" s="55"/>
      <c r="B447" s="399" t="s">
        <v>28</v>
      </c>
      <c r="C447" s="394"/>
      <c r="D447" s="394"/>
      <c r="E447" s="395" t="s">
        <v>278</v>
      </c>
      <c r="F447" s="396"/>
      <c r="G447" s="397"/>
      <c r="H447" s="316"/>
      <c r="I447" s="316"/>
      <c r="J447" s="316"/>
      <c r="K447" s="400"/>
      <c r="L447" s="53"/>
      <c r="M447" s="58"/>
    </row>
    <row r="448" spans="1:13" outlineLevel="1">
      <c r="B448" s="160" t="s">
        <v>144</v>
      </c>
      <c r="C448" s="344">
        <v>89401</v>
      </c>
      <c r="D448" s="130" t="s">
        <v>41</v>
      </c>
      <c r="E448" s="131" t="s">
        <v>364</v>
      </c>
      <c r="F448" s="208"/>
      <c r="G448" s="393"/>
      <c r="H448" s="191"/>
      <c r="I448" s="393" t="s">
        <v>318</v>
      </c>
      <c r="J448" s="191">
        <v>12</v>
      </c>
      <c r="K448" s="134"/>
    </row>
    <row r="449" spans="2:11" outlineLevel="1">
      <c r="B449" s="160" t="s">
        <v>145</v>
      </c>
      <c r="C449" s="344">
        <v>89446</v>
      </c>
      <c r="D449" s="344" t="s">
        <v>41</v>
      </c>
      <c r="E449" s="131" t="s">
        <v>365</v>
      </c>
      <c r="F449" s="208"/>
      <c r="G449" s="393"/>
      <c r="H449" s="191"/>
      <c r="I449" s="393" t="s">
        <v>318</v>
      </c>
      <c r="J449" s="191">
        <v>42</v>
      </c>
      <c r="K449" s="134"/>
    </row>
    <row r="450" spans="2:11" outlineLevel="1">
      <c r="B450" s="160" t="s">
        <v>245</v>
      </c>
      <c r="C450" s="130">
        <v>89447</v>
      </c>
      <c r="D450" s="344" t="s">
        <v>41</v>
      </c>
      <c r="E450" s="131" t="s">
        <v>366</v>
      </c>
      <c r="F450" s="208"/>
      <c r="G450" s="393"/>
      <c r="H450" s="191"/>
      <c r="I450" s="393" t="s">
        <v>318</v>
      </c>
      <c r="J450" s="191">
        <v>28</v>
      </c>
      <c r="K450" s="134"/>
    </row>
    <row r="451" spans="2:11" outlineLevel="1">
      <c r="B451" s="160" t="s">
        <v>246</v>
      </c>
      <c r="C451" s="344">
        <v>89448</v>
      </c>
      <c r="D451" s="344" t="s">
        <v>41</v>
      </c>
      <c r="E451" s="131" t="s">
        <v>367</v>
      </c>
      <c r="F451" s="208"/>
      <c r="G451" s="393"/>
      <c r="H451" s="191"/>
      <c r="I451" s="393" t="s">
        <v>318</v>
      </c>
      <c r="J451" s="191">
        <v>30</v>
      </c>
      <c r="K451" s="134"/>
    </row>
    <row r="452" spans="2:11" outlineLevel="1">
      <c r="B452" s="160" t="s">
        <v>247</v>
      </c>
      <c r="C452" s="344">
        <v>89449</v>
      </c>
      <c r="D452" s="344" t="s">
        <v>41</v>
      </c>
      <c r="E452" s="131" t="s">
        <v>368</v>
      </c>
      <c r="F452" s="208"/>
      <c r="G452" s="393"/>
      <c r="H452" s="191"/>
      <c r="I452" s="393" t="s">
        <v>318</v>
      </c>
      <c r="J452" s="191">
        <v>36</v>
      </c>
      <c r="K452" s="134"/>
    </row>
    <row r="453" spans="2:11" outlineLevel="1">
      <c r="B453" s="160" t="s">
        <v>248</v>
      </c>
      <c r="C453" s="344">
        <v>89408</v>
      </c>
      <c r="D453" s="344" t="s">
        <v>41</v>
      </c>
      <c r="E453" s="131" t="s">
        <v>369</v>
      </c>
      <c r="F453" s="208"/>
      <c r="G453" s="225"/>
      <c r="H453" s="191"/>
      <c r="I453" s="225" t="s">
        <v>317</v>
      </c>
      <c r="J453" s="191">
        <v>15</v>
      </c>
      <c r="K453" s="134"/>
    </row>
    <row r="454" spans="2:11" outlineLevel="1">
      <c r="B454" s="160" t="s">
        <v>249</v>
      </c>
      <c r="C454" s="344">
        <v>89492</v>
      </c>
      <c r="D454" s="344" t="s">
        <v>41</v>
      </c>
      <c r="E454" s="131" t="s">
        <v>370</v>
      </c>
      <c r="F454" s="208"/>
      <c r="G454" s="225"/>
      <c r="H454" s="191"/>
      <c r="I454" s="225" t="s">
        <v>317</v>
      </c>
      <c r="J454" s="191">
        <v>8</v>
      </c>
      <c r="K454" s="134"/>
    </row>
    <row r="455" spans="2:11" outlineLevel="1">
      <c r="B455" s="160" t="s">
        <v>250</v>
      </c>
      <c r="C455" s="344">
        <v>89501</v>
      </c>
      <c r="D455" s="344" t="s">
        <v>41</v>
      </c>
      <c r="E455" s="131" t="s">
        <v>371</v>
      </c>
      <c r="F455" s="208"/>
      <c r="G455" s="225"/>
      <c r="H455" s="191"/>
      <c r="I455" s="225" t="s">
        <v>317</v>
      </c>
      <c r="J455" s="191">
        <v>6</v>
      </c>
      <c r="K455" s="134"/>
    </row>
    <row r="456" spans="2:11" outlineLevel="1">
      <c r="B456" s="160" t="s">
        <v>251</v>
      </c>
      <c r="C456" s="130">
        <v>90373</v>
      </c>
      <c r="D456" s="130" t="s">
        <v>41</v>
      </c>
      <c r="E456" s="131" t="s">
        <v>372</v>
      </c>
      <c r="F456" s="208"/>
      <c r="G456" s="225"/>
      <c r="H456" s="191"/>
      <c r="I456" s="225" t="s">
        <v>317</v>
      </c>
      <c r="J456" s="191">
        <v>2</v>
      </c>
      <c r="K456" s="134"/>
    </row>
    <row r="457" spans="2:11" ht="25" outlineLevel="1">
      <c r="B457" s="160" t="s">
        <v>252</v>
      </c>
      <c r="C457" s="344">
        <v>90373</v>
      </c>
      <c r="D457" s="130" t="s">
        <v>41</v>
      </c>
      <c r="E457" s="131" t="s">
        <v>373</v>
      </c>
      <c r="F457" s="208"/>
      <c r="G457" s="225"/>
      <c r="H457" s="191"/>
      <c r="I457" s="225" t="s">
        <v>317</v>
      </c>
      <c r="J457" s="191">
        <v>16</v>
      </c>
      <c r="K457" s="134"/>
    </row>
    <row r="458" spans="2:11" outlineLevel="1">
      <c r="B458" s="160" t="s">
        <v>253</v>
      </c>
      <c r="C458" s="344">
        <v>89622</v>
      </c>
      <c r="D458" s="130" t="s">
        <v>41</v>
      </c>
      <c r="E458" s="131" t="s">
        <v>374</v>
      </c>
      <c r="F458" s="208"/>
      <c r="G458" s="225"/>
      <c r="H458" s="191"/>
      <c r="I458" s="225" t="s">
        <v>317</v>
      </c>
      <c r="J458" s="191">
        <v>4</v>
      </c>
      <c r="K458" s="134"/>
    </row>
    <row r="459" spans="2:11" outlineLevel="1">
      <c r="B459" s="160" t="s">
        <v>254</v>
      </c>
      <c r="C459" s="344">
        <v>89626</v>
      </c>
      <c r="D459" s="130" t="s">
        <v>41</v>
      </c>
      <c r="E459" s="131" t="s">
        <v>375</v>
      </c>
      <c r="F459" s="208"/>
      <c r="G459" s="225"/>
      <c r="H459" s="191"/>
      <c r="I459" s="225" t="s">
        <v>317</v>
      </c>
      <c r="J459" s="191">
        <v>2</v>
      </c>
      <c r="K459" s="134"/>
    </row>
    <row r="460" spans="2:11" outlineLevel="1">
      <c r="B460" s="160" t="s">
        <v>255</v>
      </c>
      <c r="C460" s="130">
        <v>89736</v>
      </c>
      <c r="D460" s="130" t="s">
        <v>41</v>
      </c>
      <c r="E460" s="131" t="s">
        <v>376</v>
      </c>
      <c r="F460" s="208"/>
      <c r="G460" s="225"/>
      <c r="H460" s="191"/>
      <c r="I460" s="225" t="s">
        <v>317</v>
      </c>
      <c r="J460" s="191">
        <v>8</v>
      </c>
      <c r="K460" s="134"/>
    </row>
    <row r="461" spans="2:11" outlineLevel="1">
      <c r="B461" s="160" t="s">
        <v>256</v>
      </c>
      <c r="C461" s="130">
        <v>89386</v>
      </c>
      <c r="D461" s="130" t="s">
        <v>41</v>
      </c>
      <c r="E461" s="131" t="s">
        <v>377</v>
      </c>
      <c r="F461" s="208"/>
      <c r="G461" s="225"/>
      <c r="H461" s="191"/>
      <c r="I461" s="225" t="s">
        <v>317</v>
      </c>
      <c r="J461" s="191">
        <v>4</v>
      </c>
      <c r="K461" s="134"/>
    </row>
    <row r="462" spans="2:11" outlineLevel="1">
      <c r="B462" s="160" t="s">
        <v>257</v>
      </c>
      <c r="C462" s="130">
        <v>89433</v>
      </c>
      <c r="D462" s="130" t="s">
        <v>41</v>
      </c>
      <c r="E462" s="131" t="s">
        <v>378</v>
      </c>
      <c r="F462" s="208"/>
      <c r="G462" s="225"/>
      <c r="H462" s="191"/>
      <c r="I462" s="225" t="s">
        <v>317</v>
      </c>
      <c r="J462" s="191">
        <v>4</v>
      </c>
      <c r="K462" s="134"/>
    </row>
    <row r="463" spans="2:11" outlineLevel="1">
      <c r="B463" s="160" t="s">
        <v>258</v>
      </c>
      <c r="C463" s="130">
        <v>89605</v>
      </c>
      <c r="D463" s="130" t="s">
        <v>41</v>
      </c>
      <c r="E463" s="131" t="s">
        <v>379</v>
      </c>
      <c r="F463" s="208"/>
      <c r="G463" s="225"/>
      <c r="H463" s="191"/>
      <c r="I463" s="225" t="s">
        <v>317</v>
      </c>
      <c r="J463" s="191">
        <v>2</v>
      </c>
      <c r="K463" s="134"/>
    </row>
    <row r="464" spans="2:11" outlineLevel="1">
      <c r="B464" s="160" t="s">
        <v>259</v>
      </c>
      <c r="C464" s="130">
        <v>93065</v>
      </c>
      <c r="D464" s="130" t="s">
        <v>41</v>
      </c>
      <c r="E464" s="131" t="s">
        <v>380</v>
      </c>
      <c r="F464" s="208"/>
      <c r="G464" s="225"/>
      <c r="H464" s="191"/>
      <c r="I464" s="225" t="s">
        <v>317</v>
      </c>
      <c r="J464" s="191">
        <v>2</v>
      </c>
      <c r="K464" s="134"/>
    </row>
    <row r="465" spans="1:13" outlineLevel="1">
      <c r="B465" s="160" t="s">
        <v>260</v>
      </c>
      <c r="C465" s="130">
        <v>93065</v>
      </c>
      <c r="D465" s="130" t="s">
        <v>41</v>
      </c>
      <c r="E465" s="131" t="s">
        <v>381</v>
      </c>
      <c r="F465" s="208"/>
      <c r="G465" s="225"/>
      <c r="H465" s="191"/>
      <c r="I465" s="225" t="s">
        <v>317</v>
      </c>
      <c r="J465" s="191">
        <v>4</v>
      </c>
      <c r="K465" s="134"/>
    </row>
    <row r="466" spans="1:13" outlineLevel="1">
      <c r="B466" s="160" t="s">
        <v>261</v>
      </c>
      <c r="C466" s="344">
        <v>89375</v>
      </c>
      <c r="D466" s="130" t="s">
        <v>41</v>
      </c>
      <c r="E466" s="131" t="s">
        <v>382</v>
      </c>
      <c r="F466" s="208"/>
      <c r="G466" s="225"/>
      <c r="H466" s="191"/>
      <c r="I466" s="225" t="s">
        <v>317</v>
      </c>
      <c r="J466" s="191">
        <v>6</v>
      </c>
      <c r="K466" s="134"/>
    </row>
    <row r="467" spans="1:13" outlineLevel="1">
      <c r="B467" s="160" t="s">
        <v>262</v>
      </c>
      <c r="C467" s="344">
        <v>89594</v>
      </c>
      <c r="D467" s="130" t="s">
        <v>41</v>
      </c>
      <c r="E467" s="131" t="s">
        <v>383</v>
      </c>
      <c r="F467" s="208"/>
      <c r="G467" s="225"/>
      <c r="H467" s="191"/>
      <c r="I467" s="225" t="s">
        <v>317</v>
      </c>
      <c r="J467" s="191">
        <v>2</v>
      </c>
      <c r="K467" s="134"/>
    </row>
    <row r="468" spans="1:13" s="69" customFormat="1" ht="13" outlineLevel="1">
      <c r="A468" s="55"/>
      <c r="B468" s="401" t="s">
        <v>29</v>
      </c>
      <c r="C468" s="350"/>
      <c r="D468" s="377"/>
      <c r="E468" s="378" t="s">
        <v>244</v>
      </c>
      <c r="F468" s="379"/>
      <c r="G468" s="228"/>
      <c r="H468" s="293"/>
      <c r="I468" s="228"/>
      <c r="J468" s="293"/>
      <c r="K468" s="134"/>
      <c r="L468" s="53"/>
      <c r="M468" s="58"/>
    </row>
    <row r="469" spans="1:13" outlineLevel="1">
      <c r="B469" s="160" t="s">
        <v>146</v>
      </c>
      <c r="C469" s="344">
        <v>89353</v>
      </c>
      <c r="D469" s="344" t="s">
        <v>41</v>
      </c>
      <c r="E469" s="131" t="s">
        <v>384</v>
      </c>
      <c r="F469" s="208"/>
      <c r="G469" s="225"/>
      <c r="H469" s="191"/>
      <c r="I469" s="225" t="s">
        <v>317</v>
      </c>
      <c r="J469" s="191">
        <v>1</v>
      </c>
      <c r="K469" s="134"/>
    </row>
    <row r="470" spans="1:13" outlineLevel="1">
      <c r="B470" s="160" t="s">
        <v>147</v>
      </c>
      <c r="C470" s="130">
        <v>89352</v>
      </c>
      <c r="D470" s="130" t="s">
        <v>41</v>
      </c>
      <c r="E470" s="131" t="s">
        <v>385</v>
      </c>
      <c r="F470" s="208"/>
      <c r="G470" s="225"/>
      <c r="H470" s="191"/>
      <c r="I470" s="225" t="s">
        <v>317</v>
      </c>
      <c r="J470" s="191">
        <v>2</v>
      </c>
      <c r="K470" s="134"/>
    </row>
    <row r="471" spans="1:13" outlineLevel="1">
      <c r="B471" s="160" t="s">
        <v>148</v>
      </c>
      <c r="C471" s="130">
        <v>94794</v>
      </c>
      <c r="D471" s="130" t="s">
        <v>41</v>
      </c>
      <c r="E471" s="131" t="s">
        <v>386</v>
      </c>
      <c r="F471" s="208"/>
      <c r="G471" s="225"/>
      <c r="H471" s="191"/>
      <c r="I471" s="225" t="s">
        <v>317</v>
      </c>
      <c r="J471" s="191">
        <v>2</v>
      </c>
      <c r="K471" s="134"/>
    </row>
    <row r="472" spans="1:13" outlineLevel="1">
      <c r="B472" s="160" t="s">
        <v>149</v>
      </c>
      <c r="C472" s="130">
        <v>94793</v>
      </c>
      <c r="D472" s="130" t="s">
        <v>41</v>
      </c>
      <c r="E472" s="131" t="s">
        <v>387</v>
      </c>
      <c r="F472" s="208"/>
      <c r="G472" s="225"/>
      <c r="H472" s="191"/>
      <c r="I472" s="225" t="s">
        <v>317</v>
      </c>
      <c r="J472" s="191">
        <v>2</v>
      </c>
      <c r="K472" s="134"/>
    </row>
    <row r="473" spans="1:13" outlineLevel="1">
      <c r="B473" s="160" t="s">
        <v>150</v>
      </c>
      <c r="C473" s="130">
        <v>94792</v>
      </c>
      <c r="D473" s="130" t="s">
        <v>41</v>
      </c>
      <c r="E473" s="131" t="s">
        <v>388</v>
      </c>
      <c r="F473" s="208"/>
      <c r="G473" s="225"/>
      <c r="H473" s="191"/>
      <c r="I473" s="225" t="s">
        <v>317</v>
      </c>
      <c r="J473" s="191">
        <v>2</v>
      </c>
      <c r="K473" s="134"/>
    </row>
    <row r="474" spans="1:13" outlineLevel="1">
      <c r="B474" s="160" t="s">
        <v>263</v>
      </c>
      <c r="C474" s="130">
        <v>89987</v>
      </c>
      <c r="D474" s="130" t="s">
        <v>41</v>
      </c>
      <c r="E474" s="131" t="s">
        <v>389</v>
      </c>
      <c r="F474" s="208"/>
      <c r="G474" s="225"/>
      <c r="H474" s="191"/>
      <c r="I474" s="225" t="s">
        <v>317</v>
      </c>
      <c r="J474" s="191">
        <v>2</v>
      </c>
      <c r="K474" s="134"/>
    </row>
    <row r="475" spans="1:13" outlineLevel="1">
      <c r="B475" s="160" t="s">
        <v>264</v>
      </c>
      <c r="C475" s="130">
        <v>89985</v>
      </c>
      <c r="D475" s="130" t="s">
        <v>41</v>
      </c>
      <c r="E475" s="131" t="s">
        <v>390</v>
      </c>
      <c r="F475" s="208"/>
      <c r="G475" s="225"/>
      <c r="H475" s="191"/>
      <c r="I475" s="225" t="s">
        <v>317</v>
      </c>
      <c r="J475" s="191">
        <v>8</v>
      </c>
      <c r="K475" s="134"/>
    </row>
    <row r="476" spans="1:13" outlineLevel="1">
      <c r="B476" s="160" t="s">
        <v>265</v>
      </c>
      <c r="C476" s="130">
        <v>94656</v>
      </c>
      <c r="D476" s="130" t="s">
        <v>41</v>
      </c>
      <c r="E476" s="131" t="s">
        <v>391</v>
      </c>
      <c r="F476" s="208"/>
      <c r="G476" s="225"/>
      <c r="H476" s="191"/>
      <c r="I476" s="225" t="s">
        <v>317</v>
      </c>
      <c r="J476" s="191">
        <v>12</v>
      </c>
      <c r="K476" s="134"/>
    </row>
    <row r="477" spans="1:13" outlineLevel="1">
      <c r="B477" s="160" t="s">
        <v>266</v>
      </c>
      <c r="C477" s="130">
        <v>94658</v>
      </c>
      <c r="D477" s="130" t="s">
        <v>41</v>
      </c>
      <c r="E477" s="131" t="s">
        <v>392</v>
      </c>
      <c r="F477" s="208"/>
      <c r="G477" s="225"/>
      <c r="H477" s="191"/>
      <c r="I477" s="225" t="s">
        <v>317</v>
      </c>
      <c r="J477" s="191">
        <v>4</v>
      </c>
      <c r="K477" s="134"/>
    </row>
    <row r="478" spans="1:13" outlineLevel="1">
      <c r="B478" s="160" t="s">
        <v>267</v>
      </c>
      <c r="C478" s="130">
        <v>89570</v>
      </c>
      <c r="D478" s="130" t="s">
        <v>41</v>
      </c>
      <c r="E478" s="131" t="s">
        <v>393</v>
      </c>
      <c r="F478" s="208"/>
      <c r="G478" s="225"/>
      <c r="H478" s="191"/>
      <c r="I478" s="225" t="s">
        <v>317</v>
      </c>
      <c r="J478" s="191">
        <v>4</v>
      </c>
      <c r="K478" s="134"/>
    </row>
    <row r="479" spans="1:13" outlineLevel="1">
      <c r="B479" s="160" t="s">
        <v>268</v>
      </c>
      <c r="C479" s="130">
        <v>89596</v>
      </c>
      <c r="D479" s="130" t="s">
        <v>41</v>
      </c>
      <c r="E479" s="131" t="s">
        <v>394</v>
      </c>
      <c r="F479" s="208"/>
      <c r="G479" s="225"/>
      <c r="H479" s="191"/>
      <c r="I479" s="225" t="s">
        <v>317</v>
      </c>
      <c r="J479" s="191">
        <v>4</v>
      </c>
      <c r="K479" s="134"/>
    </row>
    <row r="480" spans="1:13" outlineLevel="1">
      <c r="B480" s="160" t="s">
        <v>269</v>
      </c>
      <c r="C480" s="130">
        <v>86884</v>
      </c>
      <c r="D480" s="130" t="s">
        <v>41</v>
      </c>
      <c r="E480" s="131" t="s">
        <v>395</v>
      </c>
      <c r="F480" s="208"/>
      <c r="G480" s="225"/>
      <c r="H480" s="191"/>
      <c r="I480" s="225" t="s">
        <v>317</v>
      </c>
      <c r="J480" s="191">
        <v>10</v>
      </c>
      <c r="K480" s="134"/>
    </row>
    <row r="481" spans="1:11" outlineLevel="1">
      <c r="B481" s="160" t="s">
        <v>270</v>
      </c>
      <c r="C481" s="130">
        <v>94703</v>
      </c>
      <c r="D481" s="130" t="s">
        <v>41</v>
      </c>
      <c r="E481" s="131" t="s">
        <v>396</v>
      </c>
      <c r="F481" s="208"/>
      <c r="G481" s="225"/>
      <c r="H481" s="191"/>
      <c r="I481" s="225" t="s">
        <v>317</v>
      </c>
      <c r="J481" s="191">
        <v>3</v>
      </c>
      <c r="K481" s="134"/>
    </row>
    <row r="482" spans="1:11" outlineLevel="1">
      <c r="B482" s="160" t="s">
        <v>271</v>
      </c>
      <c r="C482" s="130">
        <v>94706</v>
      </c>
      <c r="D482" s="130" t="s">
        <v>41</v>
      </c>
      <c r="E482" s="131" t="s">
        <v>397</v>
      </c>
      <c r="F482" s="208"/>
      <c r="G482" s="225"/>
      <c r="H482" s="191"/>
      <c r="I482" s="225" t="s">
        <v>317</v>
      </c>
      <c r="J482" s="191">
        <v>2</v>
      </c>
      <c r="K482" s="134"/>
    </row>
    <row r="483" spans="1:11" outlineLevel="1">
      <c r="B483" s="161" t="s">
        <v>272</v>
      </c>
      <c r="C483" s="349">
        <v>102609</v>
      </c>
      <c r="D483" s="137" t="s">
        <v>41</v>
      </c>
      <c r="E483" s="138" t="s">
        <v>350</v>
      </c>
      <c r="F483" s="209"/>
      <c r="G483" s="248"/>
      <c r="H483" s="197"/>
      <c r="I483" s="248" t="s">
        <v>317</v>
      </c>
      <c r="J483" s="197">
        <v>1</v>
      </c>
      <c r="K483" s="139"/>
    </row>
    <row r="484" spans="1:11" ht="20.149999999999999" customHeight="1">
      <c r="B484" s="65"/>
      <c r="C484" s="4"/>
      <c r="D484" s="4"/>
      <c r="E484" s="4"/>
      <c r="F484" s="219"/>
      <c r="G484" s="219"/>
      <c r="H484" s="219"/>
      <c r="I484" s="176"/>
      <c r="J484" s="176"/>
      <c r="K484" s="28"/>
    </row>
    <row r="485" spans="1:11" ht="13">
      <c r="B485" s="156">
        <v>13</v>
      </c>
      <c r="C485" s="157"/>
      <c r="D485" s="157"/>
      <c r="E485" s="291" t="s">
        <v>52</v>
      </c>
      <c r="F485" s="296"/>
      <c r="G485" s="182"/>
      <c r="H485" s="183"/>
      <c r="I485" s="184"/>
      <c r="J485" s="184"/>
      <c r="K485" s="145" t="s">
        <v>553</v>
      </c>
    </row>
    <row r="486" spans="1:11" s="69" customFormat="1" ht="13" outlineLevel="1">
      <c r="A486" s="55"/>
      <c r="B486" s="399" t="s">
        <v>69</v>
      </c>
      <c r="C486" s="394"/>
      <c r="D486" s="357"/>
      <c r="E486" s="395" t="s">
        <v>278</v>
      </c>
      <c r="F486" s="396"/>
      <c r="G486" s="397"/>
      <c r="H486" s="316"/>
      <c r="I486" s="398"/>
      <c r="J486" s="316"/>
      <c r="K486" s="400"/>
    </row>
    <row r="487" spans="1:11" outlineLevel="1">
      <c r="B487" s="160" t="s">
        <v>151</v>
      </c>
      <c r="C487" s="344">
        <v>89711</v>
      </c>
      <c r="D487" s="344" t="s">
        <v>41</v>
      </c>
      <c r="E487" s="131" t="s">
        <v>398</v>
      </c>
      <c r="F487" s="208"/>
      <c r="G487" s="393"/>
      <c r="H487" s="191"/>
      <c r="I487" s="393" t="s">
        <v>318</v>
      </c>
      <c r="J487" s="191">
        <v>47.5</v>
      </c>
      <c r="K487" s="134"/>
    </row>
    <row r="488" spans="1:11" outlineLevel="1">
      <c r="B488" s="160" t="s">
        <v>152</v>
      </c>
      <c r="C488" s="344">
        <v>89712</v>
      </c>
      <c r="D488" s="344" t="s">
        <v>41</v>
      </c>
      <c r="E488" s="131" t="s">
        <v>399</v>
      </c>
      <c r="F488" s="208"/>
      <c r="G488" s="393"/>
      <c r="H488" s="191"/>
      <c r="I488" s="393" t="s">
        <v>318</v>
      </c>
      <c r="J488" s="191">
        <v>21.5</v>
      </c>
      <c r="K488" s="134"/>
    </row>
    <row r="489" spans="1:11" outlineLevel="1">
      <c r="B489" s="160" t="s">
        <v>153</v>
      </c>
      <c r="C489" s="344">
        <v>89714</v>
      </c>
      <c r="D489" s="344" t="s">
        <v>41</v>
      </c>
      <c r="E489" s="131" t="s">
        <v>400</v>
      </c>
      <c r="F489" s="208"/>
      <c r="G489" s="393"/>
      <c r="H489" s="191"/>
      <c r="I489" s="393" t="s">
        <v>318</v>
      </c>
      <c r="J489" s="191">
        <v>36</v>
      </c>
      <c r="K489" s="134"/>
    </row>
    <row r="490" spans="1:11" outlineLevel="1">
      <c r="B490" s="160" t="s">
        <v>154</v>
      </c>
      <c r="C490" s="344">
        <v>89726</v>
      </c>
      <c r="D490" s="344" t="s">
        <v>41</v>
      </c>
      <c r="E490" s="131" t="s">
        <v>401</v>
      </c>
      <c r="F490" s="208"/>
      <c r="G490" s="393"/>
      <c r="H490" s="191"/>
      <c r="I490" s="393" t="s">
        <v>352</v>
      </c>
      <c r="J490" s="191">
        <v>7</v>
      </c>
      <c r="K490" s="134"/>
    </row>
    <row r="491" spans="1:11" outlineLevel="1">
      <c r="B491" s="160" t="s">
        <v>155</v>
      </c>
      <c r="C491" s="344">
        <v>89744</v>
      </c>
      <c r="D491" s="344" t="s">
        <v>41</v>
      </c>
      <c r="E491" s="131" t="s">
        <v>402</v>
      </c>
      <c r="F491" s="208"/>
      <c r="G491" s="393"/>
      <c r="H491" s="191"/>
      <c r="I491" s="393" t="s">
        <v>352</v>
      </c>
      <c r="J491" s="191">
        <v>6</v>
      </c>
      <c r="K491" s="134"/>
    </row>
    <row r="492" spans="1:11" outlineLevel="1">
      <c r="B492" s="160" t="s">
        <v>156</v>
      </c>
      <c r="C492" s="130">
        <v>89724</v>
      </c>
      <c r="D492" s="344" t="s">
        <v>41</v>
      </c>
      <c r="E492" s="131" t="s">
        <v>403</v>
      </c>
      <c r="F492" s="208"/>
      <c r="G492" s="393"/>
      <c r="H492" s="191"/>
      <c r="I492" s="393" t="s">
        <v>352</v>
      </c>
      <c r="J492" s="191">
        <v>10</v>
      </c>
      <c r="K492" s="134"/>
    </row>
    <row r="493" spans="1:11" outlineLevel="1">
      <c r="B493" s="160" t="s">
        <v>280</v>
      </c>
      <c r="C493" s="130">
        <v>89827</v>
      </c>
      <c r="D493" s="344" t="s">
        <v>41</v>
      </c>
      <c r="E493" s="131" t="s">
        <v>404</v>
      </c>
      <c r="F493" s="208"/>
      <c r="G493" s="393"/>
      <c r="H493" s="191"/>
      <c r="I493" s="393" t="s">
        <v>352</v>
      </c>
      <c r="J493" s="191">
        <v>6</v>
      </c>
      <c r="K493" s="134"/>
    </row>
    <row r="494" spans="1:11" outlineLevel="1">
      <c r="B494" s="160" t="s">
        <v>281</v>
      </c>
      <c r="C494" s="130">
        <v>89834</v>
      </c>
      <c r="D494" s="344" t="s">
        <v>41</v>
      </c>
      <c r="E494" s="131" t="s">
        <v>405</v>
      </c>
      <c r="F494" s="208"/>
      <c r="G494" s="393"/>
      <c r="H494" s="191"/>
      <c r="I494" s="393" t="s">
        <v>352</v>
      </c>
      <c r="J494" s="191">
        <v>5</v>
      </c>
      <c r="K494" s="134"/>
    </row>
    <row r="495" spans="1:11" outlineLevel="1">
      <c r="B495" s="160" t="s">
        <v>282</v>
      </c>
      <c r="C495" s="130">
        <v>89797</v>
      </c>
      <c r="D495" s="344" t="s">
        <v>41</v>
      </c>
      <c r="E495" s="131" t="s">
        <v>406</v>
      </c>
      <c r="F495" s="208"/>
      <c r="G495" s="393"/>
      <c r="H495" s="191"/>
      <c r="I495" s="393" t="s">
        <v>352</v>
      </c>
      <c r="J495" s="191">
        <v>5</v>
      </c>
      <c r="K495" s="134"/>
    </row>
    <row r="496" spans="1:11" outlineLevel="1">
      <c r="B496" s="160" t="s">
        <v>283</v>
      </c>
      <c r="C496" s="344">
        <v>89852</v>
      </c>
      <c r="D496" s="344" t="s">
        <v>41</v>
      </c>
      <c r="E496" s="131" t="s">
        <v>407</v>
      </c>
      <c r="F496" s="208"/>
      <c r="G496" s="393"/>
      <c r="H496" s="191"/>
      <c r="I496" s="393" t="s">
        <v>352</v>
      </c>
      <c r="J496" s="191">
        <v>1</v>
      </c>
      <c r="K496" s="134"/>
    </row>
    <row r="497" spans="1:13" outlineLevel="1">
      <c r="B497" s="160" t="s">
        <v>284</v>
      </c>
      <c r="C497" s="344">
        <v>89728</v>
      </c>
      <c r="D497" s="344" t="s">
        <v>41</v>
      </c>
      <c r="E497" s="131" t="s">
        <v>408</v>
      </c>
      <c r="F497" s="208"/>
      <c r="G497" s="393"/>
      <c r="H497" s="191"/>
      <c r="I497" s="393" t="s">
        <v>352</v>
      </c>
      <c r="J497" s="191">
        <v>16</v>
      </c>
      <c r="K497" s="134"/>
    </row>
    <row r="498" spans="1:13" s="69" customFormat="1" ht="13" outlineLevel="1">
      <c r="A498" s="55"/>
      <c r="B498" s="401" t="s">
        <v>70</v>
      </c>
      <c r="C498" s="226"/>
      <c r="D498" s="226"/>
      <c r="E498" s="378" t="s">
        <v>279</v>
      </c>
      <c r="F498" s="379"/>
      <c r="G498" s="228"/>
      <c r="H498" s="293"/>
      <c r="I498" s="228"/>
      <c r="J498" s="293"/>
      <c r="K498" s="134"/>
    </row>
    <row r="499" spans="1:13" outlineLevel="1">
      <c r="B499" s="160" t="s">
        <v>157</v>
      </c>
      <c r="C499" s="344">
        <v>104329</v>
      </c>
      <c r="D499" s="344" t="s">
        <v>41</v>
      </c>
      <c r="E499" s="131" t="s">
        <v>409</v>
      </c>
      <c r="F499" s="208"/>
      <c r="G499" s="393"/>
      <c r="H499" s="191"/>
      <c r="I499" s="393" t="s">
        <v>352</v>
      </c>
      <c r="J499" s="191">
        <v>6</v>
      </c>
      <c r="K499" s="134"/>
    </row>
    <row r="500" spans="1:13" ht="25" outlineLevel="1">
      <c r="B500" s="160" t="s">
        <v>158</v>
      </c>
      <c r="C500" s="130">
        <v>97995</v>
      </c>
      <c r="D500" s="344" t="s">
        <v>41</v>
      </c>
      <c r="E500" s="131" t="s">
        <v>351</v>
      </c>
      <c r="F500" s="208"/>
      <c r="G500" s="393"/>
      <c r="H500" s="191"/>
      <c r="I500" s="393" t="s">
        <v>352</v>
      </c>
      <c r="J500" s="191">
        <v>2</v>
      </c>
      <c r="K500" s="134"/>
    </row>
    <row r="501" spans="1:13" outlineLevel="1">
      <c r="B501" s="160" t="s">
        <v>159</v>
      </c>
      <c r="C501" s="344">
        <v>89710</v>
      </c>
      <c r="D501" s="344" t="s">
        <v>41</v>
      </c>
      <c r="E501" s="131" t="s">
        <v>410</v>
      </c>
      <c r="F501" s="208"/>
      <c r="G501" s="393"/>
      <c r="H501" s="191"/>
      <c r="I501" s="393" t="s">
        <v>352</v>
      </c>
      <c r="J501" s="191">
        <v>6</v>
      </c>
      <c r="K501" s="134"/>
    </row>
    <row r="502" spans="1:13" outlineLevel="1">
      <c r="B502" s="160" t="s">
        <v>160</v>
      </c>
      <c r="C502" s="344">
        <v>89798</v>
      </c>
      <c r="D502" s="344" t="s">
        <v>41</v>
      </c>
      <c r="E502" s="131" t="s">
        <v>411</v>
      </c>
      <c r="F502" s="208"/>
      <c r="G502" s="393"/>
      <c r="H502" s="191"/>
      <c r="I502" s="393" t="s">
        <v>352</v>
      </c>
      <c r="J502" s="191">
        <v>8</v>
      </c>
      <c r="K502" s="134"/>
    </row>
    <row r="503" spans="1:13" outlineLevel="1">
      <c r="B503" s="160" t="s">
        <v>161</v>
      </c>
      <c r="C503" s="130">
        <v>86882</v>
      </c>
      <c r="D503" s="344" t="s">
        <v>41</v>
      </c>
      <c r="E503" s="131" t="s">
        <v>412</v>
      </c>
      <c r="F503" s="208"/>
      <c r="G503" s="393"/>
      <c r="H503" s="191"/>
      <c r="I503" s="393" t="s">
        <v>352</v>
      </c>
      <c r="J503" s="191">
        <v>8</v>
      </c>
      <c r="K503" s="134"/>
    </row>
    <row r="504" spans="1:13" ht="25" outlineLevel="1">
      <c r="B504" s="160" t="s">
        <v>162</v>
      </c>
      <c r="C504" s="130">
        <v>99629</v>
      </c>
      <c r="D504" s="344" t="s">
        <v>41</v>
      </c>
      <c r="E504" s="131" t="s">
        <v>353</v>
      </c>
      <c r="F504" s="208"/>
      <c r="G504" s="393"/>
      <c r="H504" s="191"/>
      <c r="I504" s="393" t="s">
        <v>352</v>
      </c>
      <c r="J504" s="191">
        <v>8</v>
      </c>
      <c r="K504" s="134"/>
    </row>
    <row r="505" spans="1:13" s="69" customFormat="1" ht="25" outlineLevel="1">
      <c r="A505" s="55"/>
      <c r="B505" s="160" t="s">
        <v>163</v>
      </c>
      <c r="C505" s="226">
        <v>98064</v>
      </c>
      <c r="D505" s="226" t="s">
        <v>41</v>
      </c>
      <c r="E505" s="131" t="s">
        <v>355</v>
      </c>
      <c r="F505" s="208"/>
      <c r="G505" s="393"/>
      <c r="H505" s="191"/>
      <c r="I505" s="393" t="s">
        <v>352</v>
      </c>
      <c r="J505" s="191">
        <v>1</v>
      </c>
      <c r="K505" s="134"/>
      <c r="L505" s="65"/>
      <c r="M505" s="58"/>
    </row>
    <row r="506" spans="1:13" s="69" customFormat="1" ht="25" outlineLevel="1">
      <c r="A506" s="55"/>
      <c r="B506" s="161" t="s">
        <v>164</v>
      </c>
      <c r="C506" s="244">
        <v>98053</v>
      </c>
      <c r="D506" s="359" t="s">
        <v>41</v>
      </c>
      <c r="E506" s="138" t="s">
        <v>354</v>
      </c>
      <c r="F506" s="209"/>
      <c r="G506" s="402"/>
      <c r="H506" s="197"/>
      <c r="I506" s="402" t="s">
        <v>352</v>
      </c>
      <c r="J506" s="197">
        <v>1</v>
      </c>
      <c r="K506" s="139"/>
      <c r="L506" s="65"/>
      <c r="M506" s="58"/>
    </row>
    <row r="507" spans="1:13" ht="20.149999999999999" customHeight="1">
      <c r="B507" s="403"/>
      <c r="C507" s="403"/>
      <c r="D507" s="403"/>
      <c r="E507" s="403"/>
      <c r="F507" s="404"/>
      <c r="G507" s="405"/>
      <c r="H507" s="405"/>
      <c r="I507" s="406"/>
      <c r="J507" s="406"/>
      <c r="K507" s="407"/>
    </row>
    <row r="508" spans="1:13" ht="12" customHeight="1">
      <c r="B508" s="156">
        <v>14</v>
      </c>
      <c r="C508" s="157"/>
      <c r="D508" s="157"/>
      <c r="E508" s="291" t="s">
        <v>234</v>
      </c>
      <c r="F508" s="296"/>
      <c r="G508" s="182"/>
      <c r="H508" s="183"/>
      <c r="I508" s="184"/>
      <c r="J508" s="184"/>
      <c r="K508" s="145"/>
    </row>
    <row r="509" spans="1:13" ht="12" customHeight="1" outlineLevel="1">
      <c r="B509" s="163" t="s">
        <v>30</v>
      </c>
      <c r="C509" s="150">
        <v>94229</v>
      </c>
      <c r="D509" s="358" t="s">
        <v>41</v>
      </c>
      <c r="E509" s="151" t="s">
        <v>543</v>
      </c>
      <c r="F509" s="347"/>
      <c r="G509" s="371"/>
      <c r="H509" s="331"/>
      <c r="I509" s="332"/>
      <c r="J509" s="371" t="s">
        <v>318</v>
      </c>
      <c r="K509" s="147"/>
    </row>
    <row r="510" spans="1:13" ht="12" customHeight="1" outlineLevel="1">
      <c r="B510" s="160"/>
      <c r="C510" s="130"/>
      <c r="D510" s="350"/>
      <c r="E510" s="131"/>
      <c r="F510" s="344"/>
      <c r="G510" s="370"/>
      <c r="H510" s="323"/>
      <c r="I510" s="324"/>
      <c r="J510" s="370">
        <v>36</v>
      </c>
      <c r="K510" s="134"/>
    </row>
    <row r="511" spans="1:13" ht="12" customHeight="1" outlineLevel="1">
      <c r="B511" s="160"/>
      <c r="C511" s="130"/>
      <c r="D511" s="350"/>
      <c r="E511" s="131"/>
      <c r="F511" s="344"/>
      <c r="G511" s="370"/>
      <c r="H511" s="323"/>
      <c r="I511" s="324"/>
      <c r="J511" s="370">
        <v>36</v>
      </c>
      <c r="K511" s="134"/>
    </row>
    <row r="512" spans="1:13" ht="12" customHeight="1" outlineLevel="1">
      <c r="B512" s="160"/>
      <c r="C512" s="130"/>
      <c r="D512" s="350"/>
      <c r="E512" s="131"/>
      <c r="F512" s="344"/>
      <c r="G512" s="370"/>
      <c r="H512" s="323"/>
      <c r="I512" s="518" t="s">
        <v>529</v>
      </c>
      <c r="J512" s="519">
        <f>SUM(J510:J511)</f>
        <v>72</v>
      </c>
      <c r="K512" s="134"/>
    </row>
    <row r="513" spans="2:11" ht="12" customHeight="1" outlineLevel="1">
      <c r="B513" s="161"/>
      <c r="C513" s="137"/>
      <c r="D513" s="359"/>
      <c r="E513" s="138"/>
      <c r="F513" s="349"/>
      <c r="G513" s="372"/>
      <c r="H513" s="333"/>
      <c r="I513" s="334"/>
      <c r="J513" s="372"/>
      <c r="K513" s="139"/>
    </row>
    <row r="514" spans="2:11" ht="12" customHeight="1" outlineLevel="1">
      <c r="B514" s="163" t="s">
        <v>545</v>
      </c>
      <c r="C514" s="150">
        <v>89578</v>
      </c>
      <c r="D514" s="358" t="s">
        <v>41</v>
      </c>
      <c r="E514" s="151" t="s">
        <v>544</v>
      </c>
      <c r="F514" s="347"/>
      <c r="G514" s="371"/>
      <c r="H514" s="331"/>
      <c r="I514" s="332"/>
      <c r="J514" s="371" t="s">
        <v>318</v>
      </c>
      <c r="K514" s="147"/>
    </row>
    <row r="515" spans="2:11" ht="12" customHeight="1" outlineLevel="1">
      <c r="B515" s="160"/>
      <c r="C515" s="130"/>
      <c r="D515" s="350"/>
      <c r="E515" s="131"/>
      <c r="F515" s="344"/>
      <c r="G515" s="370"/>
      <c r="H515" s="323"/>
      <c r="I515" s="324"/>
      <c r="J515" s="370">
        <v>21</v>
      </c>
      <c r="K515" s="369" t="s">
        <v>615</v>
      </c>
    </row>
    <row r="516" spans="2:11" ht="12" customHeight="1" outlineLevel="1">
      <c r="B516" s="160"/>
      <c r="C516" s="130"/>
      <c r="D516" s="350"/>
      <c r="E516" s="131"/>
      <c r="F516" s="344"/>
      <c r="G516" s="370"/>
      <c r="H516" s="323"/>
      <c r="I516" s="324"/>
      <c r="J516" s="370">
        <v>24</v>
      </c>
      <c r="K516" s="369" t="s">
        <v>616</v>
      </c>
    </row>
    <row r="517" spans="2:11" ht="12" customHeight="1" outlineLevel="1">
      <c r="B517" s="160"/>
      <c r="C517" s="130"/>
      <c r="D517" s="350"/>
      <c r="E517" s="131"/>
      <c r="F517" s="344"/>
      <c r="G517" s="370"/>
      <c r="H517" s="323"/>
      <c r="I517" s="518" t="s">
        <v>529</v>
      </c>
      <c r="J517" s="519">
        <f>SUM(J515:J516)</f>
        <v>45</v>
      </c>
      <c r="K517" s="134"/>
    </row>
    <row r="518" spans="2:11" ht="12" customHeight="1" outlineLevel="1">
      <c r="B518" s="161"/>
      <c r="C518" s="275"/>
      <c r="D518" s="541"/>
      <c r="E518" s="307"/>
      <c r="F518" s="349"/>
      <c r="G518" s="372"/>
      <c r="H518" s="333"/>
      <c r="I518" s="334"/>
      <c r="J518" s="372"/>
      <c r="K518" s="139"/>
    </row>
    <row r="519" spans="2:11" ht="12" customHeight="1" outlineLevel="1">
      <c r="B519" s="539" t="s">
        <v>546</v>
      </c>
      <c r="C519" s="150" t="s">
        <v>658</v>
      </c>
      <c r="D519" s="347" t="s">
        <v>469</v>
      </c>
      <c r="E519" s="151" t="s">
        <v>657</v>
      </c>
      <c r="F519" s="540"/>
      <c r="G519" s="371"/>
      <c r="H519" s="331"/>
      <c r="I519" s="332"/>
      <c r="J519" s="371" t="s">
        <v>318</v>
      </c>
      <c r="K519" s="147"/>
    </row>
    <row r="520" spans="2:11" ht="12" customHeight="1" outlineLevel="1">
      <c r="B520" s="160"/>
      <c r="C520" s="153"/>
      <c r="D520" s="345"/>
      <c r="E520" s="154"/>
      <c r="F520" s="344"/>
      <c r="G520" s="370"/>
      <c r="H520" s="323"/>
      <c r="I520" s="324"/>
      <c r="J520" s="324">
        <v>23</v>
      </c>
      <c r="K520" s="369" t="s">
        <v>617</v>
      </c>
    </row>
    <row r="521" spans="2:11" ht="12" customHeight="1" outlineLevel="1">
      <c r="B521" s="160"/>
      <c r="C521" s="130"/>
      <c r="D521" s="344"/>
      <c r="E521" s="131"/>
      <c r="F521" s="344"/>
      <c r="G521" s="370"/>
      <c r="H521" s="323"/>
      <c r="I521" s="324"/>
      <c r="J521" s="324">
        <v>23</v>
      </c>
      <c r="K521" s="369" t="s">
        <v>617</v>
      </c>
    </row>
    <row r="522" spans="2:11" ht="12" customHeight="1" outlineLevel="1">
      <c r="B522" s="160"/>
      <c r="C522" s="130"/>
      <c r="D522" s="344"/>
      <c r="E522" s="131"/>
      <c r="F522" s="344"/>
      <c r="G522" s="370"/>
      <c r="H522" s="323"/>
      <c r="I522" s="324"/>
      <c r="J522" s="324">
        <v>36</v>
      </c>
      <c r="K522" s="369" t="s">
        <v>618</v>
      </c>
    </row>
    <row r="523" spans="2:11" ht="12" customHeight="1" outlineLevel="1">
      <c r="B523" s="305"/>
      <c r="C523" s="275"/>
      <c r="D523" s="365"/>
      <c r="E523" s="307"/>
      <c r="F523" s="365"/>
      <c r="G523" s="520"/>
      <c r="H523" s="521"/>
      <c r="I523" s="518" t="s">
        <v>529</v>
      </c>
      <c r="J523" s="519">
        <f>SUM(J520:J522)</f>
        <v>82</v>
      </c>
      <c r="K523" s="459"/>
    </row>
    <row r="524" spans="2:11" ht="12" customHeight="1" outlineLevel="1">
      <c r="B524" s="161"/>
      <c r="C524" s="137"/>
      <c r="D524" s="349"/>
      <c r="E524" s="138"/>
      <c r="F524" s="349"/>
      <c r="G524" s="372"/>
      <c r="H524" s="333"/>
      <c r="I524" s="334"/>
      <c r="J524" s="334"/>
      <c r="K524" s="139"/>
    </row>
    <row r="525" spans="2:11" ht="20.149999999999999" customHeight="1">
      <c r="B525" s="106"/>
      <c r="C525" s="106"/>
      <c r="D525" s="106"/>
      <c r="H525" s="220"/>
      <c r="I525" s="210"/>
      <c r="J525" s="210"/>
      <c r="K525" s="127"/>
    </row>
    <row r="526" spans="2:11" ht="13">
      <c r="B526" s="156">
        <v>15</v>
      </c>
      <c r="C526" s="157"/>
      <c r="D526" s="157"/>
      <c r="E526" s="291" t="s">
        <v>235</v>
      </c>
      <c r="F526" s="296"/>
      <c r="G526" s="182"/>
      <c r="H526" s="183"/>
      <c r="I526" s="184"/>
      <c r="J526" s="184"/>
      <c r="K526" s="145" t="s">
        <v>552</v>
      </c>
    </row>
    <row r="527" spans="2:11" ht="25" outlineLevel="1">
      <c r="B527" s="159" t="s">
        <v>71</v>
      </c>
      <c r="C527" s="260">
        <v>95470</v>
      </c>
      <c r="D527" s="409" t="s">
        <v>41</v>
      </c>
      <c r="E527" s="154" t="s">
        <v>536</v>
      </c>
      <c r="F527" s="142"/>
      <c r="G527" s="295"/>
      <c r="H527" s="262"/>
      <c r="I527" s="295" t="s">
        <v>317</v>
      </c>
      <c r="J527" s="262">
        <v>4</v>
      </c>
      <c r="K527" s="143"/>
    </row>
    <row r="528" spans="2:11" ht="37.5" outlineLevel="1">
      <c r="B528" s="160" t="s">
        <v>72</v>
      </c>
      <c r="C528" s="257">
        <v>95472</v>
      </c>
      <c r="D528" s="408" t="s">
        <v>41</v>
      </c>
      <c r="E528" s="131" t="s">
        <v>537</v>
      </c>
      <c r="F528" s="129"/>
      <c r="G528" s="190"/>
      <c r="H528" s="191"/>
      <c r="I528" s="190" t="s">
        <v>317</v>
      </c>
      <c r="J528" s="191">
        <v>2</v>
      </c>
      <c r="K528" s="134"/>
    </row>
    <row r="529" spans="2:11" outlineLevel="1">
      <c r="B529" s="160" t="s">
        <v>72</v>
      </c>
      <c r="C529" s="130">
        <v>86901</v>
      </c>
      <c r="D529" s="130" t="s">
        <v>41</v>
      </c>
      <c r="E529" s="131" t="s">
        <v>413</v>
      </c>
      <c r="F529" s="208"/>
      <c r="G529" s="190"/>
      <c r="H529" s="191"/>
      <c r="I529" s="190" t="s">
        <v>317</v>
      </c>
      <c r="J529" s="191">
        <v>6</v>
      </c>
      <c r="K529" s="134"/>
    </row>
    <row r="530" spans="2:11" outlineLevel="1">
      <c r="B530" s="160" t="s">
        <v>73</v>
      </c>
      <c r="C530" s="130">
        <v>86942</v>
      </c>
      <c r="D530" s="130" t="s">
        <v>41</v>
      </c>
      <c r="E530" s="131" t="s">
        <v>414</v>
      </c>
      <c r="F530" s="208"/>
      <c r="G530" s="190"/>
      <c r="H530" s="191"/>
      <c r="I530" s="190" t="s">
        <v>317</v>
      </c>
      <c r="J530" s="191">
        <v>2</v>
      </c>
      <c r="K530" s="134"/>
    </row>
    <row r="531" spans="2:11" ht="25" outlineLevel="1">
      <c r="B531" s="160" t="s">
        <v>74</v>
      </c>
      <c r="C531" s="350" t="s">
        <v>478</v>
      </c>
      <c r="D531" s="226" t="s">
        <v>469</v>
      </c>
      <c r="E531" s="131" t="s">
        <v>477</v>
      </c>
      <c r="F531" s="208"/>
      <c r="G531" s="190"/>
      <c r="H531" s="191"/>
      <c r="I531" s="190" t="s">
        <v>317</v>
      </c>
      <c r="J531" s="191">
        <v>2</v>
      </c>
      <c r="K531" s="134"/>
    </row>
    <row r="532" spans="2:11" outlineLevel="1">
      <c r="B532" s="160" t="s">
        <v>75</v>
      </c>
      <c r="C532" s="130">
        <v>86906</v>
      </c>
      <c r="D532" s="130" t="s">
        <v>41</v>
      </c>
      <c r="E532" s="131" t="s">
        <v>415</v>
      </c>
      <c r="F532" s="208"/>
      <c r="G532" s="190"/>
      <c r="H532" s="191"/>
      <c r="I532" s="190" t="s">
        <v>317</v>
      </c>
      <c r="J532" s="191">
        <v>8</v>
      </c>
      <c r="K532" s="134"/>
    </row>
    <row r="533" spans="2:11" outlineLevel="1">
      <c r="B533" s="160" t="s">
        <v>92</v>
      </c>
      <c r="C533" s="130">
        <v>86914</v>
      </c>
      <c r="D533" s="130" t="s">
        <v>41</v>
      </c>
      <c r="E533" s="131" t="s">
        <v>416</v>
      </c>
      <c r="F533" s="208"/>
      <c r="G533" s="190"/>
      <c r="H533" s="191"/>
      <c r="I533" s="190" t="s">
        <v>317</v>
      </c>
      <c r="J533" s="191">
        <v>2</v>
      </c>
      <c r="K533" s="134"/>
    </row>
    <row r="534" spans="2:11" ht="25" outlineLevel="1">
      <c r="B534" s="160" t="s">
        <v>93</v>
      </c>
      <c r="C534" s="130">
        <v>100860</v>
      </c>
      <c r="D534" s="130" t="s">
        <v>41</v>
      </c>
      <c r="E534" s="131" t="s">
        <v>417</v>
      </c>
      <c r="F534" s="208"/>
      <c r="G534" s="190"/>
      <c r="H534" s="191"/>
      <c r="I534" s="190" t="s">
        <v>317</v>
      </c>
      <c r="J534" s="191">
        <v>6</v>
      </c>
      <c r="K534" s="134"/>
    </row>
    <row r="535" spans="2:11" outlineLevel="1">
      <c r="B535" s="160" t="s">
        <v>94</v>
      </c>
      <c r="C535" s="350">
        <v>95544</v>
      </c>
      <c r="D535" s="130" t="s">
        <v>41</v>
      </c>
      <c r="E535" s="131" t="s">
        <v>356</v>
      </c>
      <c r="F535" s="208"/>
      <c r="G535" s="190"/>
      <c r="H535" s="191"/>
      <c r="I535" s="190" t="s">
        <v>317</v>
      </c>
      <c r="J535" s="191">
        <v>6</v>
      </c>
      <c r="K535" s="134"/>
    </row>
    <row r="536" spans="2:11" outlineLevel="1">
      <c r="B536" s="160" t="s">
        <v>95</v>
      </c>
      <c r="C536" s="350">
        <v>95545</v>
      </c>
      <c r="D536" s="130" t="s">
        <v>41</v>
      </c>
      <c r="E536" s="131" t="s">
        <v>357</v>
      </c>
      <c r="F536" s="208"/>
      <c r="G536" s="190"/>
      <c r="H536" s="191"/>
      <c r="I536" s="190" t="s">
        <v>317</v>
      </c>
      <c r="J536" s="191">
        <v>4</v>
      </c>
      <c r="K536" s="134"/>
    </row>
    <row r="537" spans="2:11" outlineLevel="1">
      <c r="B537" s="160" t="s">
        <v>96</v>
      </c>
      <c r="C537" s="257">
        <v>100849</v>
      </c>
      <c r="D537" s="130" t="s">
        <v>41</v>
      </c>
      <c r="E537" s="131" t="s">
        <v>358</v>
      </c>
      <c r="F537" s="208"/>
      <c r="G537" s="190"/>
      <c r="H537" s="191"/>
      <c r="I537" s="190" t="s">
        <v>317</v>
      </c>
      <c r="J537" s="191">
        <v>6</v>
      </c>
      <c r="K537" s="134"/>
    </row>
    <row r="538" spans="2:11" ht="25" outlineLevel="1">
      <c r="B538" s="161" t="s">
        <v>97</v>
      </c>
      <c r="C538" s="244">
        <v>100875</v>
      </c>
      <c r="D538" s="137" t="s">
        <v>41</v>
      </c>
      <c r="E538" s="138" t="s">
        <v>359</v>
      </c>
      <c r="F538" s="209"/>
      <c r="G538" s="196"/>
      <c r="H538" s="197"/>
      <c r="I538" s="196" t="s">
        <v>317</v>
      </c>
      <c r="J538" s="197">
        <v>2</v>
      </c>
      <c r="K538" s="139"/>
    </row>
    <row r="539" spans="2:11" ht="20.149999999999999" customHeight="1">
      <c r="B539" s="4"/>
      <c r="C539" s="4"/>
      <c r="D539" s="4"/>
      <c r="E539" s="4"/>
      <c r="F539" s="219"/>
      <c r="G539" s="219"/>
      <c r="H539" s="219"/>
      <c r="I539" s="176"/>
      <c r="J539" s="176"/>
      <c r="K539" s="28"/>
    </row>
    <row r="540" spans="2:11" ht="13">
      <c r="B540" s="156">
        <v>16</v>
      </c>
      <c r="C540" s="157"/>
      <c r="D540" s="157"/>
      <c r="E540" s="291" t="s">
        <v>63</v>
      </c>
      <c r="F540" s="296"/>
      <c r="G540" s="182"/>
      <c r="H540" s="183"/>
      <c r="I540" s="184"/>
      <c r="J540" s="184"/>
      <c r="K540" s="145"/>
    </row>
    <row r="541" spans="2:11" outlineLevel="1">
      <c r="B541" s="373" t="s">
        <v>55</v>
      </c>
      <c r="C541" s="358" t="s">
        <v>479</v>
      </c>
      <c r="D541" s="239" t="s">
        <v>469</v>
      </c>
      <c r="E541" s="151" t="s">
        <v>480</v>
      </c>
      <c r="F541" s="216"/>
      <c r="G541" s="186"/>
      <c r="H541" s="199"/>
      <c r="I541" s="199"/>
      <c r="J541" s="186" t="s">
        <v>317</v>
      </c>
      <c r="K541" s="147"/>
    </row>
    <row r="542" spans="2:11" outlineLevel="1">
      <c r="B542" s="374"/>
      <c r="C542" s="350"/>
      <c r="D542" s="226"/>
      <c r="E542" s="131"/>
      <c r="F542" s="208"/>
      <c r="G542" s="190"/>
      <c r="H542" s="191"/>
      <c r="I542" s="191"/>
      <c r="J542" s="190">
        <v>1</v>
      </c>
      <c r="K542" s="369" t="s">
        <v>554</v>
      </c>
    </row>
    <row r="543" spans="2:11" outlineLevel="1">
      <c r="B543" s="374"/>
      <c r="C543" s="350"/>
      <c r="D543" s="226"/>
      <c r="E543" s="131"/>
      <c r="F543" s="208"/>
      <c r="G543" s="190"/>
      <c r="H543" s="191"/>
      <c r="I543" s="191"/>
      <c r="J543" s="190">
        <v>1</v>
      </c>
      <c r="K543" s="369" t="s">
        <v>555</v>
      </c>
    </row>
    <row r="544" spans="2:11" ht="13" outlineLevel="1">
      <c r="B544" s="374"/>
      <c r="C544" s="350"/>
      <c r="D544" s="226"/>
      <c r="E544" s="131"/>
      <c r="F544" s="208"/>
      <c r="G544" s="190"/>
      <c r="H544" s="191"/>
      <c r="I544" s="193" t="s">
        <v>529</v>
      </c>
      <c r="J544" s="376">
        <f>SUM(J542:J543)</f>
        <v>2</v>
      </c>
      <c r="K544" s="134"/>
    </row>
    <row r="545" spans="2:11" outlineLevel="1">
      <c r="B545" s="375"/>
      <c r="C545" s="359"/>
      <c r="D545" s="244"/>
      <c r="E545" s="138"/>
      <c r="F545" s="209"/>
      <c r="G545" s="196"/>
      <c r="H545" s="197"/>
      <c r="I545" s="197"/>
      <c r="J545" s="196"/>
      <c r="K545" s="139"/>
    </row>
    <row r="546" spans="2:11" ht="25" outlineLevel="1">
      <c r="B546" s="373" t="s">
        <v>86</v>
      </c>
      <c r="C546" s="358" t="s">
        <v>481</v>
      </c>
      <c r="D546" s="239" t="s">
        <v>469</v>
      </c>
      <c r="E546" s="151" t="s">
        <v>482</v>
      </c>
      <c r="F546" s="216"/>
      <c r="G546" s="186"/>
      <c r="H546" s="199"/>
      <c r="I546" s="199"/>
      <c r="J546" s="186" t="s">
        <v>317</v>
      </c>
      <c r="K546" s="147"/>
    </row>
    <row r="547" spans="2:11" outlineLevel="1">
      <c r="B547" s="374"/>
      <c r="C547" s="350"/>
      <c r="D547" s="226"/>
      <c r="E547" s="131"/>
      <c r="F547" s="208"/>
      <c r="G547" s="190"/>
      <c r="H547" s="191"/>
      <c r="I547" s="191"/>
      <c r="J547" s="190">
        <v>1</v>
      </c>
      <c r="K547" s="369" t="s">
        <v>554</v>
      </c>
    </row>
    <row r="548" spans="2:11" outlineLevel="1">
      <c r="B548" s="374"/>
      <c r="C548" s="350"/>
      <c r="D548" s="226"/>
      <c r="E548" s="131"/>
      <c r="F548" s="208"/>
      <c r="G548" s="190"/>
      <c r="H548" s="191"/>
      <c r="I548" s="191"/>
      <c r="J548" s="190">
        <v>1</v>
      </c>
      <c r="K548" s="369" t="s">
        <v>555</v>
      </c>
    </row>
    <row r="549" spans="2:11" ht="13" outlineLevel="1">
      <c r="B549" s="374"/>
      <c r="C549" s="350"/>
      <c r="D549" s="226"/>
      <c r="E549" s="131"/>
      <c r="F549" s="208"/>
      <c r="G549" s="190"/>
      <c r="H549" s="191"/>
      <c r="I549" s="193" t="s">
        <v>529</v>
      </c>
      <c r="J549" s="376">
        <f>SUM(J547:J548)</f>
        <v>2</v>
      </c>
      <c r="K549" s="134"/>
    </row>
    <row r="550" spans="2:11" outlineLevel="1">
      <c r="B550" s="375"/>
      <c r="C550" s="359"/>
      <c r="D550" s="244"/>
      <c r="E550" s="138"/>
      <c r="F550" s="209"/>
      <c r="G550" s="196"/>
      <c r="H550" s="197"/>
      <c r="I550" s="197"/>
      <c r="J550" s="196"/>
      <c r="K550" s="139"/>
    </row>
    <row r="551" spans="2:11" outlineLevel="1">
      <c r="B551" s="373" t="s">
        <v>56</v>
      </c>
      <c r="C551" s="358" t="s">
        <v>483</v>
      </c>
      <c r="D551" s="239" t="s">
        <v>469</v>
      </c>
      <c r="E551" s="151" t="s">
        <v>418</v>
      </c>
      <c r="F551" s="216"/>
      <c r="G551" s="186"/>
      <c r="H551" s="199"/>
      <c r="I551" s="199"/>
      <c r="J551" s="186" t="s">
        <v>317</v>
      </c>
      <c r="K551" s="147"/>
    </row>
    <row r="552" spans="2:11" outlineLevel="1">
      <c r="B552" s="374"/>
      <c r="C552" s="350"/>
      <c r="D552" s="226"/>
      <c r="E552" s="131"/>
      <c r="F552" s="208"/>
      <c r="G552" s="190"/>
      <c r="H552" s="191"/>
      <c r="I552" s="191"/>
      <c r="J552" s="190">
        <v>1</v>
      </c>
      <c r="K552" s="369" t="s">
        <v>554</v>
      </c>
    </row>
    <row r="553" spans="2:11" outlineLevel="1">
      <c r="B553" s="374"/>
      <c r="C553" s="350"/>
      <c r="D553" s="226"/>
      <c r="E553" s="131"/>
      <c r="F553" s="208"/>
      <c r="G553" s="190"/>
      <c r="H553" s="191"/>
      <c r="I553" s="191"/>
      <c r="J553" s="190">
        <v>1</v>
      </c>
      <c r="K553" s="369" t="s">
        <v>555</v>
      </c>
    </row>
    <row r="554" spans="2:11" ht="13" outlineLevel="1">
      <c r="B554" s="374"/>
      <c r="C554" s="350"/>
      <c r="D554" s="226"/>
      <c r="E554" s="131"/>
      <c r="F554" s="208"/>
      <c r="G554" s="190"/>
      <c r="H554" s="191"/>
      <c r="I554" s="193" t="s">
        <v>529</v>
      </c>
      <c r="J554" s="376">
        <f>SUM(J552:J553)</f>
        <v>2</v>
      </c>
      <c r="K554" s="134"/>
    </row>
    <row r="555" spans="2:11" outlineLevel="1">
      <c r="B555" s="375"/>
      <c r="C555" s="359"/>
      <c r="D555" s="244"/>
      <c r="E555" s="138"/>
      <c r="F555" s="209"/>
      <c r="G555" s="196"/>
      <c r="H555" s="197"/>
      <c r="I555" s="197"/>
      <c r="J555" s="196"/>
      <c r="K555" s="139"/>
    </row>
    <row r="556" spans="2:11" outlineLevel="1">
      <c r="B556" s="373" t="s">
        <v>57</v>
      </c>
      <c r="C556" s="358" t="s">
        <v>484</v>
      </c>
      <c r="D556" s="239" t="s">
        <v>469</v>
      </c>
      <c r="E556" s="151" t="s">
        <v>419</v>
      </c>
      <c r="F556" s="216"/>
      <c r="G556" s="186"/>
      <c r="H556" s="199"/>
      <c r="I556" s="199"/>
      <c r="J556" s="186" t="s">
        <v>317</v>
      </c>
      <c r="K556" s="147"/>
    </row>
    <row r="557" spans="2:11" outlineLevel="1">
      <c r="B557" s="374"/>
      <c r="C557" s="350"/>
      <c r="D557" s="226"/>
      <c r="E557" s="131"/>
      <c r="F557" s="208"/>
      <c r="G557" s="190"/>
      <c r="H557" s="191"/>
      <c r="I557" s="191"/>
      <c r="J557" s="190">
        <v>1</v>
      </c>
      <c r="K557" s="369" t="s">
        <v>554</v>
      </c>
    </row>
    <row r="558" spans="2:11" outlineLevel="1">
      <c r="B558" s="374"/>
      <c r="C558" s="350"/>
      <c r="D558" s="226"/>
      <c r="E558" s="131"/>
      <c r="F558" s="208"/>
      <c r="G558" s="190"/>
      <c r="H558" s="191"/>
      <c r="I558" s="191"/>
      <c r="J558" s="190">
        <v>1</v>
      </c>
      <c r="K558" s="369" t="s">
        <v>555</v>
      </c>
    </row>
    <row r="559" spans="2:11" ht="13" outlineLevel="1">
      <c r="B559" s="374"/>
      <c r="C559" s="350"/>
      <c r="D559" s="226"/>
      <c r="E559" s="131"/>
      <c r="F559" s="208"/>
      <c r="G559" s="190"/>
      <c r="H559" s="191"/>
      <c r="I559" s="193" t="s">
        <v>529</v>
      </c>
      <c r="J559" s="376">
        <f>SUM(J557:J558)</f>
        <v>2</v>
      </c>
      <c r="K559" s="134"/>
    </row>
    <row r="560" spans="2:11" outlineLevel="1">
      <c r="B560" s="375"/>
      <c r="C560" s="359"/>
      <c r="D560" s="244"/>
      <c r="E560" s="138"/>
      <c r="F560" s="209"/>
      <c r="G560" s="196"/>
      <c r="H560" s="197"/>
      <c r="I560" s="197"/>
      <c r="J560" s="196"/>
      <c r="K560" s="139"/>
    </row>
    <row r="561" spans="2:11" outlineLevel="1">
      <c r="B561" s="373" t="s">
        <v>87</v>
      </c>
      <c r="C561" s="358" t="s">
        <v>484</v>
      </c>
      <c r="D561" s="239" t="s">
        <v>469</v>
      </c>
      <c r="E561" s="151" t="s">
        <v>420</v>
      </c>
      <c r="F561" s="216"/>
      <c r="G561" s="186"/>
      <c r="H561" s="199"/>
      <c r="I561" s="199"/>
      <c r="J561" s="186" t="s">
        <v>317</v>
      </c>
      <c r="K561" s="147"/>
    </row>
    <row r="562" spans="2:11" outlineLevel="1">
      <c r="B562" s="374"/>
      <c r="C562" s="350"/>
      <c r="D562" s="226"/>
      <c r="E562" s="131"/>
      <c r="F562" s="208"/>
      <c r="G562" s="190"/>
      <c r="H562" s="191"/>
      <c r="I562" s="191"/>
      <c r="J562" s="190">
        <v>1</v>
      </c>
      <c r="K562" s="369" t="s">
        <v>554</v>
      </c>
    </row>
    <row r="563" spans="2:11" outlineLevel="1">
      <c r="B563" s="374"/>
      <c r="C563" s="350"/>
      <c r="D563" s="226"/>
      <c r="E563" s="131"/>
      <c r="F563" s="208"/>
      <c r="G563" s="190"/>
      <c r="H563" s="191"/>
      <c r="I563" s="191"/>
      <c r="J563" s="190">
        <v>1</v>
      </c>
      <c r="K563" s="369" t="s">
        <v>555</v>
      </c>
    </row>
    <row r="564" spans="2:11" ht="13" outlineLevel="1">
      <c r="B564" s="374"/>
      <c r="C564" s="350"/>
      <c r="D564" s="226"/>
      <c r="E564" s="131"/>
      <c r="F564" s="208"/>
      <c r="G564" s="190"/>
      <c r="H564" s="191"/>
      <c r="I564" s="193" t="s">
        <v>529</v>
      </c>
      <c r="J564" s="376">
        <f>SUM(J562:J563)</f>
        <v>2</v>
      </c>
      <c r="K564" s="134"/>
    </row>
    <row r="565" spans="2:11" outlineLevel="1">
      <c r="B565" s="375"/>
      <c r="C565" s="359"/>
      <c r="D565" s="244"/>
      <c r="E565" s="138"/>
      <c r="F565" s="209"/>
      <c r="G565" s="196"/>
      <c r="H565" s="197"/>
      <c r="I565" s="197"/>
      <c r="J565" s="198"/>
      <c r="K565" s="139"/>
    </row>
    <row r="566" spans="2:11" ht="20.149999999999999" customHeight="1">
      <c r="B566" s="87"/>
      <c r="C566" s="87"/>
      <c r="D566" s="87"/>
      <c r="H566" s="126"/>
      <c r="I566" s="210"/>
      <c r="J566" s="210"/>
      <c r="K566" s="127"/>
    </row>
    <row r="567" spans="2:11" ht="20.149999999999999" customHeight="1">
      <c r="B567" s="156">
        <v>17</v>
      </c>
      <c r="C567" s="157"/>
      <c r="D567" s="157"/>
      <c r="E567" s="291" t="s">
        <v>288</v>
      </c>
      <c r="F567" s="296"/>
      <c r="G567" s="182"/>
      <c r="H567" s="183"/>
      <c r="I567" s="184"/>
      <c r="J567" s="184"/>
      <c r="K567" s="145" t="s">
        <v>552</v>
      </c>
    </row>
    <row r="568" spans="2:11" ht="20.149999999999999" customHeight="1" outlineLevel="1">
      <c r="B568" s="421" t="s">
        <v>78</v>
      </c>
      <c r="C568" s="417"/>
      <c r="D568" s="417"/>
      <c r="E568" s="380" t="s">
        <v>242</v>
      </c>
      <c r="F568" s="381"/>
      <c r="G568" s="418"/>
      <c r="H568" s="419"/>
      <c r="I568" s="420"/>
      <c r="J568" s="263"/>
      <c r="K568" s="143"/>
    </row>
    <row r="569" spans="2:11" outlineLevel="1">
      <c r="B569" s="160" t="s">
        <v>165</v>
      </c>
      <c r="C569" s="257">
        <v>101875</v>
      </c>
      <c r="D569" s="257" t="s">
        <v>41</v>
      </c>
      <c r="E569" s="131" t="s">
        <v>421</v>
      </c>
      <c r="F569" s="208"/>
      <c r="G569" s="190"/>
      <c r="H569" s="191"/>
      <c r="I569" s="190" t="s">
        <v>317</v>
      </c>
      <c r="J569" s="191">
        <v>1</v>
      </c>
      <c r="K569" s="134"/>
    </row>
    <row r="570" spans="2:11" outlineLevel="1">
      <c r="B570" s="160" t="s">
        <v>166</v>
      </c>
      <c r="C570" s="257">
        <v>101879</v>
      </c>
      <c r="D570" s="257" t="s">
        <v>41</v>
      </c>
      <c r="E570" s="131" t="s">
        <v>422</v>
      </c>
      <c r="F570" s="208"/>
      <c r="G570" s="190"/>
      <c r="H570" s="191"/>
      <c r="I570" s="190" t="s">
        <v>317</v>
      </c>
      <c r="J570" s="191">
        <v>1</v>
      </c>
      <c r="K570" s="134"/>
    </row>
    <row r="571" spans="2:11" ht="20.149999999999999" customHeight="1" outlineLevel="1">
      <c r="B571" s="160" t="s">
        <v>167</v>
      </c>
      <c r="C571" s="257">
        <v>93653</v>
      </c>
      <c r="D571" s="257" t="s">
        <v>41</v>
      </c>
      <c r="E571" s="131" t="s">
        <v>423</v>
      </c>
      <c r="F571" s="208"/>
      <c r="G571" s="190"/>
      <c r="H571" s="191"/>
      <c r="I571" s="190" t="s">
        <v>317</v>
      </c>
      <c r="J571" s="191">
        <v>7</v>
      </c>
      <c r="K571" s="134"/>
    </row>
    <row r="572" spans="2:11" ht="20.149999999999999" customHeight="1" outlineLevel="1">
      <c r="B572" s="160" t="s">
        <v>168</v>
      </c>
      <c r="C572" s="257">
        <v>93655</v>
      </c>
      <c r="D572" s="257" t="s">
        <v>41</v>
      </c>
      <c r="E572" s="131" t="s">
        <v>424</v>
      </c>
      <c r="F572" s="208"/>
      <c r="G572" s="190"/>
      <c r="H572" s="191"/>
      <c r="I572" s="190" t="s">
        <v>317</v>
      </c>
      <c r="J572" s="191">
        <v>5</v>
      </c>
      <c r="K572" s="134"/>
    </row>
    <row r="573" spans="2:11" ht="20.149999999999999" customHeight="1" outlineLevel="1">
      <c r="B573" s="160" t="s">
        <v>169</v>
      </c>
      <c r="C573" s="257">
        <v>93656</v>
      </c>
      <c r="D573" s="257" t="s">
        <v>41</v>
      </c>
      <c r="E573" s="131" t="s">
        <v>425</v>
      </c>
      <c r="F573" s="208"/>
      <c r="G573" s="190"/>
      <c r="H573" s="191"/>
      <c r="I573" s="190" t="s">
        <v>317</v>
      </c>
      <c r="J573" s="191">
        <v>8</v>
      </c>
      <c r="K573" s="134"/>
    </row>
    <row r="574" spans="2:11" ht="20.149999999999999" customHeight="1" outlineLevel="1">
      <c r="B574" s="160" t="s">
        <v>170</v>
      </c>
      <c r="C574" s="257">
        <v>101894</v>
      </c>
      <c r="D574" s="257" t="s">
        <v>41</v>
      </c>
      <c r="E574" s="131" t="s">
        <v>426</v>
      </c>
      <c r="F574" s="208"/>
      <c r="G574" s="190"/>
      <c r="H574" s="191"/>
      <c r="I574" s="190" t="s">
        <v>317</v>
      </c>
      <c r="J574" s="191">
        <v>2</v>
      </c>
      <c r="K574" s="134"/>
    </row>
    <row r="575" spans="2:11" ht="20.149999999999999" customHeight="1" outlineLevel="1">
      <c r="B575" s="160" t="s">
        <v>171</v>
      </c>
      <c r="C575" s="257">
        <v>101895</v>
      </c>
      <c r="D575" s="257" t="s">
        <v>41</v>
      </c>
      <c r="E575" s="131" t="s">
        <v>427</v>
      </c>
      <c r="F575" s="208"/>
      <c r="G575" s="190"/>
      <c r="H575" s="191"/>
      <c r="I575" s="190" t="s">
        <v>317</v>
      </c>
      <c r="J575" s="191">
        <v>1</v>
      </c>
      <c r="K575" s="134"/>
    </row>
    <row r="576" spans="2:11" ht="25" outlineLevel="1">
      <c r="B576" s="160" t="s">
        <v>172</v>
      </c>
      <c r="C576" s="350"/>
      <c r="D576" s="257" t="s">
        <v>46</v>
      </c>
      <c r="E576" s="131" t="s">
        <v>428</v>
      </c>
      <c r="F576" s="208"/>
      <c r="G576" s="190"/>
      <c r="H576" s="191"/>
      <c r="I576" s="190" t="s">
        <v>317</v>
      </c>
      <c r="J576" s="191">
        <v>4</v>
      </c>
      <c r="K576" s="134"/>
    </row>
    <row r="577" spans="2:11" ht="20.149999999999999" customHeight="1" outlineLevel="1">
      <c r="B577" s="422" t="s">
        <v>79</v>
      </c>
      <c r="C577" s="410"/>
      <c r="D577" s="410"/>
      <c r="E577" s="411" t="s">
        <v>67</v>
      </c>
      <c r="F577" s="412"/>
      <c r="G577" s="225"/>
      <c r="H577" s="191"/>
      <c r="I577" s="225"/>
      <c r="J577" s="191"/>
      <c r="K577" s="134"/>
    </row>
    <row r="578" spans="2:11" outlineLevel="1">
      <c r="B578" s="415" t="s">
        <v>173</v>
      </c>
      <c r="C578" s="351">
        <v>91854</v>
      </c>
      <c r="D578" s="351" t="s">
        <v>41</v>
      </c>
      <c r="E578" s="131" t="s">
        <v>429</v>
      </c>
      <c r="F578" s="208"/>
      <c r="G578" s="413"/>
      <c r="H578" s="191"/>
      <c r="I578" s="413" t="s">
        <v>318</v>
      </c>
      <c r="J578" s="191">
        <v>28</v>
      </c>
      <c r="K578" s="134"/>
    </row>
    <row r="579" spans="2:11" outlineLevel="1">
      <c r="B579" s="415" t="s">
        <v>174</v>
      </c>
      <c r="C579" s="351">
        <v>91856</v>
      </c>
      <c r="D579" s="351" t="s">
        <v>41</v>
      </c>
      <c r="E579" s="131" t="s">
        <v>430</v>
      </c>
      <c r="F579" s="208"/>
      <c r="G579" s="413"/>
      <c r="H579" s="191"/>
      <c r="I579" s="413" t="s">
        <v>318</v>
      </c>
      <c r="J579" s="191">
        <v>18</v>
      </c>
      <c r="K579" s="134"/>
    </row>
    <row r="580" spans="2:11" ht="20.149999999999999" customHeight="1" outlineLevel="1">
      <c r="B580" s="415" t="s">
        <v>175</v>
      </c>
      <c r="C580" s="351">
        <v>91873</v>
      </c>
      <c r="D580" s="351" t="s">
        <v>41</v>
      </c>
      <c r="E580" s="131" t="s">
        <v>431</v>
      </c>
      <c r="F580" s="208"/>
      <c r="G580" s="413"/>
      <c r="H580" s="191"/>
      <c r="I580" s="413" t="s">
        <v>318</v>
      </c>
      <c r="J580" s="191">
        <v>18</v>
      </c>
      <c r="K580" s="134"/>
    </row>
    <row r="581" spans="2:11" ht="25" outlineLevel="1">
      <c r="B581" s="415" t="s">
        <v>176</v>
      </c>
      <c r="C581" s="351" t="s">
        <v>503</v>
      </c>
      <c r="D581" s="351" t="s">
        <v>469</v>
      </c>
      <c r="E581" s="131" t="s">
        <v>502</v>
      </c>
      <c r="F581" s="208"/>
      <c r="G581" s="413"/>
      <c r="H581" s="191"/>
      <c r="I581" s="413" t="s">
        <v>318</v>
      </c>
      <c r="J581" s="191">
        <v>82</v>
      </c>
      <c r="K581" s="134"/>
    </row>
    <row r="582" spans="2:11" ht="25" outlineLevel="1">
      <c r="B582" s="415" t="s">
        <v>177</v>
      </c>
      <c r="C582" s="132" t="s">
        <v>505</v>
      </c>
      <c r="D582" s="351" t="s">
        <v>469</v>
      </c>
      <c r="E582" s="131" t="s">
        <v>504</v>
      </c>
      <c r="F582" s="208"/>
      <c r="G582" s="413"/>
      <c r="H582" s="191"/>
      <c r="I582" s="413" t="s">
        <v>318</v>
      </c>
      <c r="J582" s="191">
        <v>13</v>
      </c>
      <c r="K582" s="134"/>
    </row>
    <row r="583" spans="2:11" ht="25" outlineLevel="1">
      <c r="B583" s="415" t="s">
        <v>178</v>
      </c>
      <c r="C583" s="132" t="s">
        <v>507</v>
      </c>
      <c r="D583" s="351" t="s">
        <v>469</v>
      </c>
      <c r="E583" s="131" t="s">
        <v>506</v>
      </c>
      <c r="F583" s="208"/>
      <c r="G583" s="413"/>
      <c r="H583" s="191"/>
      <c r="I583" s="413" t="s">
        <v>318</v>
      </c>
      <c r="J583" s="191">
        <v>30</v>
      </c>
      <c r="K583" s="134"/>
    </row>
    <row r="584" spans="2:11" ht="20.149999999999999" customHeight="1" outlineLevel="1">
      <c r="B584" s="415" t="s">
        <v>179</v>
      </c>
      <c r="C584" s="132">
        <v>95795</v>
      </c>
      <c r="D584" s="132" t="s">
        <v>41</v>
      </c>
      <c r="E584" s="131" t="s">
        <v>432</v>
      </c>
      <c r="F584" s="208"/>
      <c r="G584" s="190"/>
      <c r="H584" s="191"/>
      <c r="I584" s="190" t="s">
        <v>317</v>
      </c>
      <c r="J584" s="191">
        <v>5</v>
      </c>
      <c r="K584" s="134"/>
    </row>
    <row r="585" spans="2:11" ht="20.149999999999999" customHeight="1" outlineLevel="1">
      <c r="B585" s="415" t="s">
        <v>180</v>
      </c>
      <c r="C585" s="132">
        <v>95808</v>
      </c>
      <c r="D585" s="132" t="s">
        <v>41</v>
      </c>
      <c r="E585" s="131" t="s">
        <v>433</v>
      </c>
      <c r="F585" s="208"/>
      <c r="G585" s="190"/>
      <c r="H585" s="191"/>
      <c r="I585" s="190" t="s">
        <v>317</v>
      </c>
      <c r="J585" s="191">
        <v>5</v>
      </c>
      <c r="K585" s="134"/>
    </row>
    <row r="586" spans="2:11" ht="20.149999999999999" customHeight="1" outlineLevel="1">
      <c r="B586" s="415" t="s">
        <v>181</v>
      </c>
      <c r="C586" s="132">
        <v>95789</v>
      </c>
      <c r="D586" s="132" t="s">
        <v>41</v>
      </c>
      <c r="E586" s="131" t="s">
        <v>434</v>
      </c>
      <c r="F586" s="208"/>
      <c r="G586" s="190"/>
      <c r="H586" s="191"/>
      <c r="I586" s="190" t="s">
        <v>317</v>
      </c>
      <c r="J586" s="191">
        <v>4</v>
      </c>
      <c r="K586" s="134"/>
    </row>
    <row r="587" spans="2:11" ht="20.149999999999999" customHeight="1" outlineLevel="1">
      <c r="B587" s="415" t="s">
        <v>182</v>
      </c>
      <c r="C587" s="132" t="s">
        <v>508</v>
      </c>
      <c r="D587" s="132" t="s">
        <v>469</v>
      </c>
      <c r="E587" s="131" t="s">
        <v>435</v>
      </c>
      <c r="F587" s="208"/>
      <c r="G587" s="190"/>
      <c r="H587" s="191"/>
      <c r="I587" s="190" t="s">
        <v>317</v>
      </c>
      <c r="J587" s="191">
        <v>1</v>
      </c>
      <c r="K587" s="134"/>
    </row>
    <row r="588" spans="2:11" ht="20.149999999999999" customHeight="1" outlineLevel="1">
      <c r="B588" s="415" t="s">
        <v>183</v>
      </c>
      <c r="C588" s="132"/>
      <c r="D588" s="132" t="s">
        <v>46</v>
      </c>
      <c r="E588" s="131" t="s">
        <v>436</v>
      </c>
      <c r="F588" s="208"/>
      <c r="G588" s="190"/>
      <c r="H588" s="191"/>
      <c r="I588" s="190" t="s">
        <v>317</v>
      </c>
      <c r="J588" s="191">
        <v>50</v>
      </c>
      <c r="K588" s="134"/>
    </row>
    <row r="589" spans="2:11" ht="20.149999999999999" customHeight="1" outlineLevel="1">
      <c r="B589" s="415" t="s">
        <v>184</v>
      </c>
      <c r="C589" s="132"/>
      <c r="D589" s="132" t="s">
        <v>46</v>
      </c>
      <c r="E589" s="131" t="s">
        <v>437</v>
      </c>
      <c r="F589" s="208"/>
      <c r="G589" s="190"/>
      <c r="H589" s="191"/>
      <c r="I589" s="190" t="s">
        <v>317</v>
      </c>
      <c r="J589" s="191">
        <v>4</v>
      </c>
      <c r="K589" s="134"/>
    </row>
    <row r="590" spans="2:11" ht="20.149999999999999" customHeight="1" outlineLevel="1">
      <c r="B590" s="415" t="s">
        <v>185</v>
      </c>
      <c r="C590" s="132"/>
      <c r="D590" s="132" t="s">
        <v>46</v>
      </c>
      <c r="E590" s="131" t="s">
        <v>438</v>
      </c>
      <c r="F590" s="208"/>
      <c r="G590" s="190"/>
      <c r="H590" s="191"/>
      <c r="I590" s="190" t="s">
        <v>317</v>
      </c>
      <c r="J590" s="191">
        <v>4</v>
      </c>
      <c r="K590" s="134"/>
    </row>
    <row r="591" spans="2:11" ht="19.5" customHeight="1" outlineLevel="1">
      <c r="B591" s="415" t="s">
        <v>186</v>
      </c>
      <c r="C591" s="132"/>
      <c r="D591" s="132" t="s">
        <v>46</v>
      </c>
      <c r="E591" s="131" t="s">
        <v>439</v>
      </c>
      <c r="F591" s="208"/>
      <c r="G591" s="214"/>
      <c r="H591" s="191"/>
      <c r="I591" s="214" t="s">
        <v>497</v>
      </c>
      <c r="J591" s="191">
        <v>15</v>
      </c>
      <c r="K591" s="134"/>
    </row>
    <row r="592" spans="2:11" ht="20.149999999999999" customHeight="1" outlineLevel="1">
      <c r="B592" s="415" t="s">
        <v>187</v>
      </c>
      <c r="C592" s="132"/>
      <c r="D592" s="132" t="s">
        <v>46</v>
      </c>
      <c r="E592" s="131" t="s">
        <v>440</v>
      </c>
      <c r="F592" s="208"/>
      <c r="G592" s="214"/>
      <c r="H592" s="191"/>
      <c r="I592" s="214" t="s">
        <v>497</v>
      </c>
      <c r="J592" s="191">
        <v>2</v>
      </c>
      <c r="K592" s="134"/>
    </row>
    <row r="593" spans="2:11" ht="20.149999999999999" customHeight="1" outlineLevel="1">
      <c r="B593" s="415" t="s">
        <v>188</v>
      </c>
      <c r="C593" s="132"/>
      <c r="D593" s="132" t="s">
        <v>46</v>
      </c>
      <c r="E593" s="131" t="s">
        <v>441</v>
      </c>
      <c r="F593" s="208"/>
      <c r="G593" s="214"/>
      <c r="H593" s="191"/>
      <c r="I593" s="214" t="s">
        <v>497</v>
      </c>
      <c r="J593" s="191">
        <v>1</v>
      </c>
      <c r="K593" s="134"/>
    </row>
    <row r="594" spans="2:11" ht="20.149999999999999" customHeight="1" outlineLevel="1">
      <c r="B594" s="415" t="s">
        <v>189</v>
      </c>
      <c r="C594" s="132">
        <v>92695</v>
      </c>
      <c r="D594" s="132" t="s">
        <v>41</v>
      </c>
      <c r="E594" s="131" t="s">
        <v>442</v>
      </c>
      <c r="F594" s="208"/>
      <c r="G594" s="190"/>
      <c r="H594" s="191"/>
      <c r="I594" s="190" t="s">
        <v>317</v>
      </c>
      <c r="J594" s="191">
        <v>15</v>
      </c>
      <c r="K594" s="134"/>
    </row>
    <row r="595" spans="2:11" ht="20.149999999999999" customHeight="1" outlineLevel="1">
      <c r="B595" s="415" t="s">
        <v>190</v>
      </c>
      <c r="C595" s="132">
        <v>92697</v>
      </c>
      <c r="D595" s="132" t="s">
        <v>41</v>
      </c>
      <c r="E595" s="131" t="s">
        <v>443</v>
      </c>
      <c r="F595" s="208"/>
      <c r="G595" s="190"/>
      <c r="H595" s="191"/>
      <c r="I595" s="190" t="s">
        <v>317</v>
      </c>
      <c r="J595" s="191">
        <v>2</v>
      </c>
      <c r="K595" s="134"/>
    </row>
    <row r="596" spans="2:11" ht="20.149999999999999" customHeight="1" outlineLevel="1">
      <c r="B596" s="415" t="s">
        <v>191</v>
      </c>
      <c r="C596" s="132">
        <v>92662</v>
      </c>
      <c r="D596" s="132" t="s">
        <v>41</v>
      </c>
      <c r="E596" s="131" t="s">
        <v>444</v>
      </c>
      <c r="F596" s="208"/>
      <c r="G596" s="190"/>
      <c r="H596" s="191"/>
      <c r="I596" s="190" t="s">
        <v>317</v>
      </c>
      <c r="J596" s="191">
        <v>1</v>
      </c>
      <c r="K596" s="134"/>
    </row>
    <row r="597" spans="2:11" ht="20.149999999999999" customHeight="1" outlineLevel="1">
      <c r="B597" s="415" t="s">
        <v>192</v>
      </c>
      <c r="C597" s="132">
        <v>92868</v>
      </c>
      <c r="D597" s="132" t="s">
        <v>41</v>
      </c>
      <c r="E597" s="131" t="s">
        <v>445</v>
      </c>
      <c r="F597" s="208"/>
      <c r="G597" s="190"/>
      <c r="H597" s="191"/>
      <c r="I597" s="190" t="s">
        <v>317</v>
      </c>
      <c r="J597" s="191">
        <v>16</v>
      </c>
      <c r="K597" s="134"/>
    </row>
    <row r="598" spans="2:11" outlineLevel="1">
      <c r="B598" s="415" t="s">
        <v>193</v>
      </c>
      <c r="C598" s="132">
        <v>92865</v>
      </c>
      <c r="D598" s="132" t="s">
        <v>41</v>
      </c>
      <c r="E598" s="131" t="s">
        <v>446</v>
      </c>
      <c r="F598" s="208"/>
      <c r="G598" s="190"/>
      <c r="H598" s="191"/>
      <c r="I598" s="190" t="s">
        <v>317</v>
      </c>
      <c r="J598" s="191">
        <v>7</v>
      </c>
      <c r="K598" s="134"/>
    </row>
    <row r="599" spans="2:11" ht="20.149999999999999" customHeight="1" outlineLevel="1">
      <c r="B599" s="422" t="s">
        <v>80</v>
      </c>
      <c r="C599" s="410"/>
      <c r="D599" s="410"/>
      <c r="E599" s="411" t="s">
        <v>236</v>
      </c>
      <c r="F599" s="412"/>
      <c r="G599" s="413"/>
      <c r="H599" s="191"/>
      <c r="I599" s="413"/>
      <c r="J599" s="191"/>
      <c r="K599" s="134"/>
    </row>
    <row r="600" spans="2:11" ht="19.5" customHeight="1" outlineLevel="1">
      <c r="B600" s="415" t="s">
        <v>194</v>
      </c>
      <c r="C600" s="351">
        <v>91926</v>
      </c>
      <c r="D600" s="132" t="s">
        <v>41</v>
      </c>
      <c r="E600" s="131" t="s">
        <v>447</v>
      </c>
      <c r="F600" s="208"/>
      <c r="G600" s="413"/>
      <c r="H600" s="191"/>
      <c r="I600" s="413" t="s">
        <v>318</v>
      </c>
      <c r="J600" s="191">
        <v>190</v>
      </c>
      <c r="K600" s="134"/>
    </row>
    <row r="601" spans="2:11" ht="19.5" customHeight="1" outlineLevel="1">
      <c r="B601" s="415" t="s">
        <v>195</v>
      </c>
      <c r="C601" s="351">
        <v>91928</v>
      </c>
      <c r="D601" s="351" t="s">
        <v>41</v>
      </c>
      <c r="E601" s="131" t="s">
        <v>448</v>
      </c>
      <c r="F601" s="208"/>
      <c r="G601" s="413"/>
      <c r="H601" s="191"/>
      <c r="I601" s="413" t="s">
        <v>318</v>
      </c>
      <c r="J601" s="191">
        <v>820</v>
      </c>
      <c r="K601" s="134"/>
    </row>
    <row r="602" spans="2:11" ht="19.5" customHeight="1" outlineLevel="1">
      <c r="B602" s="415" t="s">
        <v>196</v>
      </c>
      <c r="C602" s="351">
        <v>91934</v>
      </c>
      <c r="D602" s="351" t="s">
        <v>41</v>
      </c>
      <c r="E602" s="131" t="s">
        <v>449</v>
      </c>
      <c r="F602" s="208"/>
      <c r="G602" s="413"/>
      <c r="H602" s="191"/>
      <c r="I602" s="413" t="s">
        <v>318</v>
      </c>
      <c r="J602" s="191">
        <v>14</v>
      </c>
      <c r="K602" s="134"/>
    </row>
    <row r="603" spans="2:11" ht="19.5" customHeight="1" outlineLevel="1">
      <c r="B603" s="415" t="s">
        <v>197</v>
      </c>
      <c r="C603" s="351">
        <v>92986</v>
      </c>
      <c r="D603" s="351" t="s">
        <v>41</v>
      </c>
      <c r="E603" s="131" t="s">
        <v>450</v>
      </c>
      <c r="F603" s="208"/>
      <c r="G603" s="413"/>
      <c r="H603" s="191"/>
      <c r="I603" s="413" t="s">
        <v>318</v>
      </c>
      <c r="J603" s="191">
        <v>41</v>
      </c>
      <c r="K603" s="134"/>
    </row>
    <row r="604" spans="2:11" ht="20.149999999999999" customHeight="1" outlineLevel="1">
      <c r="B604" s="422" t="s">
        <v>81</v>
      </c>
      <c r="C604" s="410"/>
      <c r="D604" s="410"/>
      <c r="E604" s="411" t="s">
        <v>237</v>
      </c>
      <c r="F604" s="412"/>
      <c r="G604" s="413"/>
      <c r="H604" s="191"/>
      <c r="I604" s="413"/>
      <c r="J604" s="191"/>
      <c r="K604" s="134"/>
    </row>
    <row r="605" spans="2:11" ht="20.149999999999999" customHeight="1" outlineLevel="1">
      <c r="B605" s="415" t="s">
        <v>198</v>
      </c>
      <c r="C605" s="351">
        <v>92000</v>
      </c>
      <c r="D605" s="351" t="s">
        <v>41</v>
      </c>
      <c r="E605" s="131" t="s">
        <v>451</v>
      </c>
      <c r="F605" s="208"/>
      <c r="G605" s="190"/>
      <c r="H605" s="191"/>
      <c r="I605" s="190" t="s">
        <v>317</v>
      </c>
      <c r="J605" s="191">
        <v>4</v>
      </c>
      <c r="K605" s="134"/>
    </row>
    <row r="606" spans="2:11" ht="20.149999999999999" customHeight="1" outlineLevel="1">
      <c r="B606" s="415" t="s">
        <v>199</v>
      </c>
      <c r="C606" s="351">
        <v>92001</v>
      </c>
      <c r="D606" s="351" t="s">
        <v>41</v>
      </c>
      <c r="E606" s="131" t="s">
        <v>452</v>
      </c>
      <c r="F606" s="208"/>
      <c r="G606" s="190"/>
      <c r="H606" s="191"/>
      <c r="I606" s="190" t="s">
        <v>317</v>
      </c>
      <c r="J606" s="191">
        <v>1</v>
      </c>
      <c r="K606" s="134"/>
    </row>
    <row r="607" spans="2:11" ht="25" outlineLevel="1">
      <c r="B607" s="415" t="s">
        <v>200</v>
      </c>
      <c r="C607" s="132">
        <v>91953</v>
      </c>
      <c r="D607" s="351" t="s">
        <v>41</v>
      </c>
      <c r="E607" s="131" t="s">
        <v>453</v>
      </c>
      <c r="F607" s="208"/>
      <c r="G607" s="190"/>
      <c r="H607" s="191"/>
      <c r="I607" s="190" t="s">
        <v>317</v>
      </c>
      <c r="J607" s="191">
        <v>7</v>
      </c>
      <c r="K607" s="134"/>
    </row>
    <row r="608" spans="2:11" ht="25" outlineLevel="1">
      <c r="B608" s="415" t="s">
        <v>201</v>
      </c>
      <c r="C608" s="132">
        <v>103782</v>
      </c>
      <c r="D608" s="351" t="s">
        <v>41</v>
      </c>
      <c r="E608" s="131" t="s">
        <v>362</v>
      </c>
      <c r="F608" s="208"/>
      <c r="G608" s="190"/>
      <c r="H608" s="191"/>
      <c r="I608" s="190" t="s">
        <v>317</v>
      </c>
      <c r="J608" s="191">
        <v>7</v>
      </c>
      <c r="K608" s="134"/>
    </row>
    <row r="609" spans="1:13" ht="30" customHeight="1" outlineLevel="1">
      <c r="B609" s="416" t="s">
        <v>202</v>
      </c>
      <c r="C609" s="162">
        <v>101657</v>
      </c>
      <c r="D609" s="361" t="s">
        <v>41</v>
      </c>
      <c r="E609" s="138" t="s">
        <v>501</v>
      </c>
      <c r="F609" s="209"/>
      <c r="G609" s="196"/>
      <c r="H609" s="197"/>
      <c r="I609" s="196" t="s">
        <v>317</v>
      </c>
      <c r="J609" s="197">
        <v>20</v>
      </c>
      <c r="K609" s="139"/>
    </row>
    <row r="610" spans="1:13" ht="20.149999999999999" customHeight="1">
      <c r="B610" s="2"/>
      <c r="C610" s="2"/>
      <c r="D610" s="2"/>
      <c r="E610" s="2"/>
      <c r="F610" s="217"/>
      <c r="G610" s="218"/>
      <c r="H610" s="218"/>
      <c r="I610" s="166"/>
      <c r="J610" s="166"/>
      <c r="K610" s="27"/>
    </row>
    <row r="611" spans="1:13" ht="20.149999999999999" customHeight="1">
      <c r="B611" s="156">
        <v>18</v>
      </c>
      <c r="C611" s="157"/>
      <c r="D611" s="157"/>
      <c r="E611" s="291" t="s">
        <v>53</v>
      </c>
      <c r="F611" s="296"/>
      <c r="G611" s="182"/>
      <c r="H611" s="183"/>
      <c r="I611" s="184"/>
      <c r="J611" s="184"/>
      <c r="K611" s="145" t="s">
        <v>552</v>
      </c>
    </row>
    <row r="612" spans="1:13" ht="30" customHeight="1" outlineLevel="1">
      <c r="B612" s="414" t="s">
        <v>76</v>
      </c>
      <c r="C612" s="357">
        <v>96986</v>
      </c>
      <c r="D612" s="357" t="s">
        <v>41</v>
      </c>
      <c r="E612" s="154" t="s">
        <v>454</v>
      </c>
      <c r="F612" s="297"/>
      <c r="G612" s="295"/>
      <c r="H612" s="262"/>
      <c r="I612" s="295" t="s">
        <v>317</v>
      </c>
      <c r="J612" s="262">
        <v>7</v>
      </c>
      <c r="K612" s="143"/>
    </row>
    <row r="613" spans="1:13" ht="19.5" customHeight="1" outlineLevel="1">
      <c r="B613" s="415" t="s">
        <v>82</v>
      </c>
      <c r="C613" s="226" t="s">
        <v>500</v>
      </c>
      <c r="D613" s="226" t="s">
        <v>469</v>
      </c>
      <c r="E613" s="131" t="s">
        <v>455</v>
      </c>
      <c r="F613" s="208"/>
      <c r="G613" s="190"/>
      <c r="H613" s="191"/>
      <c r="I613" s="190" t="s">
        <v>317</v>
      </c>
      <c r="J613" s="191">
        <v>1</v>
      </c>
      <c r="K613" s="134"/>
    </row>
    <row r="614" spans="1:13" ht="20.149999999999999" customHeight="1" outlineLevel="1">
      <c r="B614" s="415" t="s">
        <v>83</v>
      </c>
      <c r="C614" s="226">
        <v>96973</v>
      </c>
      <c r="D614" s="226" t="s">
        <v>41</v>
      </c>
      <c r="E614" s="131" t="s">
        <v>456</v>
      </c>
      <c r="F614" s="208"/>
      <c r="G614" s="352"/>
      <c r="H614" s="191"/>
      <c r="I614" s="352" t="s">
        <v>318</v>
      </c>
      <c r="J614" s="191">
        <v>39.200000000000003</v>
      </c>
      <c r="K614" s="134"/>
    </row>
    <row r="615" spans="1:13" ht="20.149999999999999" customHeight="1" outlineLevel="1">
      <c r="B615" s="415" t="s">
        <v>88</v>
      </c>
      <c r="C615" s="226">
        <v>96974</v>
      </c>
      <c r="D615" s="350" t="s">
        <v>41</v>
      </c>
      <c r="E615" s="131" t="s">
        <v>457</v>
      </c>
      <c r="F615" s="208"/>
      <c r="G615" s="352"/>
      <c r="H615" s="191"/>
      <c r="I615" s="352" t="s">
        <v>318</v>
      </c>
      <c r="J615" s="191">
        <v>126.32</v>
      </c>
      <c r="K615" s="134"/>
    </row>
    <row r="616" spans="1:13" ht="20.149999999999999" customHeight="1" outlineLevel="1">
      <c r="B616" s="415" t="s">
        <v>89</v>
      </c>
      <c r="C616" s="227">
        <v>93008</v>
      </c>
      <c r="D616" s="129" t="s">
        <v>41</v>
      </c>
      <c r="E616" s="131" t="s">
        <v>458</v>
      </c>
      <c r="F616" s="208"/>
      <c r="G616" s="352"/>
      <c r="H616" s="191"/>
      <c r="I616" s="352" t="s">
        <v>318</v>
      </c>
      <c r="J616" s="191">
        <v>21</v>
      </c>
      <c r="K616" s="134"/>
    </row>
    <row r="617" spans="1:13" ht="20.149999999999999" customHeight="1" outlineLevel="1">
      <c r="B617" s="415" t="s">
        <v>102</v>
      </c>
      <c r="C617" s="227"/>
      <c r="D617" s="129" t="s">
        <v>46</v>
      </c>
      <c r="E617" s="131" t="s">
        <v>459</v>
      </c>
      <c r="F617" s="208"/>
      <c r="G617" s="190"/>
      <c r="H617" s="191"/>
      <c r="I617" s="190" t="s">
        <v>317</v>
      </c>
      <c r="J617" s="191">
        <v>7</v>
      </c>
      <c r="K617" s="134"/>
    </row>
    <row r="618" spans="1:13" ht="20.149999999999999" customHeight="1" outlineLevel="1">
      <c r="B618" s="415" t="s">
        <v>203</v>
      </c>
      <c r="C618" s="227"/>
      <c r="D618" s="129" t="s">
        <v>46</v>
      </c>
      <c r="E618" s="131" t="s">
        <v>460</v>
      </c>
      <c r="F618" s="208"/>
      <c r="G618" s="190"/>
      <c r="H618" s="191"/>
      <c r="I618" s="190" t="s">
        <v>317</v>
      </c>
      <c r="J618" s="191">
        <v>7</v>
      </c>
      <c r="K618" s="134"/>
    </row>
    <row r="619" spans="1:13" ht="20.149999999999999" customHeight="1" outlineLevel="1">
      <c r="B619" s="416" t="s">
        <v>204</v>
      </c>
      <c r="C619" s="245"/>
      <c r="D619" s="136" t="s">
        <v>46</v>
      </c>
      <c r="E619" s="138" t="s">
        <v>461</v>
      </c>
      <c r="F619" s="209"/>
      <c r="G619" s="196"/>
      <c r="H619" s="197"/>
      <c r="I619" s="196" t="s">
        <v>317</v>
      </c>
      <c r="J619" s="197">
        <v>7</v>
      </c>
      <c r="K619" s="139"/>
    </row>
    <row r="620" spans="1:13" ht="20.149999999999999" customHeight="1">
      <c r="B620" s="87"/>
      <c r="C620" s="87"/>
      <c r="D620" s="87"/>
      <c r="H620" s="126"/>
      <c r="I620" s="210"/>
      <c r="J620" s="210"/>
      <c r="K620" s="127"/>
    </row>
    <row r="621" spans="1:13" ht="12" customHeight="1">
      <c r="B621" s="156">
        <v>19</v>
      </c>
      <c r="C621" s="157"/>
      <c r="D621" s="157"/>
      <c r="E621" s="291" t="s">
        <v>59</v>
      </c>
      <c r="F621" s="296"/>
      <c r="G621" s="182"/>
      <c r="H621" s="183"/>
      <c r="I621" s="184"/>
      <c r="J621" s="184"/>
      <c r="K621" s="145"/>
    </row>
    <row r="622" spans="1:13" s="53" customFormat="1" ht="12" customHeight="1" outlineLevel="1">
      <c r="A622" s="55"/>
      <c r="B622" s="382" t="s">
        <v>77</v>
      </c>
      <c r="C622" s="383"/>
      <c r="D622" s="383"/>
      <c r="E622" s="384" t="s">
        <v>276</v>
      </c>
      <c r="F622" s="385"/>
      <c r="G622" s="386"/>
      <c r="H622" s="387"/>
      <c r="I622" s="387"/>
      <c r="J622" s="387"/>
      <c r="K622" s="388"/>
      <c r="M622" s="58"/>
    </row>
    <row r="623" spans="1:13" ht="12" customHeight="1" outlineLevel="1">
      <c r="B623" s="163" t="s">
        <v>205</v>
      </c>
      <c r="C623" s="239" t="s">
        <v>490</v>
      </c>
      <c r="D623" s="240" t="s">
        <v>469</v>
      </c>
      <c r="E623" s="151" t="s">
        <v>489</v>
      </c>
      <c r="F623" s="216"/>
      <c r="G623" s="186" t="s">
        <v>33</v>
      </c>
      <c r="H623" s="199" t="s">
        <v>524</v>
      </c>
      <c r="I623" s="199" t="s">
        <v>525</v>
      </c>
      <c r="J623" s="186" t="s">
        <v>316</v>
      </c>
      <c r="K623" s="147"/>
    </row>
    <row r="624" spans="1:13" ht="12" customHeight="1" outlineLevel="1">
      <c r="B624" s="160"/>
      <c r="C624" s="226"/>
      <c r="D624" s="227"/>
      <c r="E624" s="131"/>
      <c r="F624" s="208"/>
      <c r="G624" s="190">
        <v>2</v>
      </c>
      <c r="H624" s="191">
        <v>2.5</v>
      </c>
      <c r="I624" s="191">
        <v>0.5</v>
      </c>
      <c r="J624" s="190">
        <f>ROUND(I624*H624*G624,2)</f>
        <v>2.5</v>
      </c>
      <c r="K624" s="506" t="s">
        <v>601</v>
      </c>
    </row>
    <row r="625" spans="2:11" ht="12" customHeight="1" outlineLevel="1">
      <c r="B625" s="160"/>
      <c r="C625" s="226"/>
      <c r="D625" s="227"/>
      <c r="E625" s="131"/>
      <c r="F625" s="208"/>
      <c r="G625" s="190"/>
      <c r="H625" s="191"/>
      <c r="I625" s="193" t="s">
        <v>529</v>
      </c>
      <c r="J625" s="376">
        <f>SUM(J624)</f>
        <v>2.5</v>
      </c>
      <c r="K625" s="506"/>
    </row>
    <row r="626" spans="2:11" ht="12" customHeight="1" outlineLevel="1">
      <c r="B626" s="161"/>
      <c r="C626" s="244"/>
      <c r="D626" s="245"/>
      <c r="E626" s="138"/>
      <c r="F626" s="209"/>
      <c r="G626" s="196"/>
      <c r="H626" s="197"/>
      <c r="I626" s="197"/>
      <c r="J626" s="196"/>
      <c r="K626" s="507"/>
    </row>
    <row r="627" spans="2:11" ht="12" customHeight="1" outlineLevel="1">
      <c r="B627" s="163" t="s">
        <v>206</v>
      </c>
      <c r="C627" s="239" t="s">
        <v>491</v>
      </c>
      <c r="D627" s="240" t="s">
        <v>469</v>
      </c>
      <c r="E627" s="151" t="s">
        <v>492</v>
      </c>
      <c r="F627" s="216"/>
      <c r="G627" s="186"/>
      <c r="H627" s="199"/>
      <c r="I627" s="199"/>
      <c r="J627" s="186" t="s">
        <v>317</v>
      </c>
      <c r="K627" s="508"/>
    </row>
    <row r="628" spans="2:11" ht="12" customHeight="1" outlineLevel="1">
      <c r="B628" s="160"/>
      <c r="C628" s="226"/>
      <c r="D628" s="227"/>
      <c r="E628" s="131"/>
      <c r="F628" s="208"/>
      <c r="G628" s="190"/>
      <c r="H628" s="191"/>
      <c r="I628" s="191"/>
      <c r="J628" s="190">
        <v>2</v>
      </c>
      <c r="K628" s="506"/>
    </row>
    <row r="629" spans="2:11" ht="12" customHeight="1" outlineLevel="1">
      <c r="B629" s="160"/>
      <c r="C629" s="226"/>
      <c r="D629" s="227"/>
      <c r="E629" s="131"/>
      <c r="F629" s="208"/>
      <c r="G629" s="190"/>
      <c r="H629" s="191"/>
      <c r="I629" s="193" t="s">
        <v>529</v>
      </c>
      <c r="J629" s="376">
        <f>SUM(J628)</f>
        <v>2</v>
      </c>
      <c r="K629" s="506"/>
    </row>
    <row r="630" spans="2:11" ht="12" customHeight="1" outlineLevel="1">
      <c r="B630" s="161"/>
      <c r="C630" s="244"/>
      <c r="D630" s="245"/>
      <c r="E630" s="138"/>
      <c r="F630" s="209"/>
      <c r="G630" s="196"/>
      <c r="H630" s="197"/>
      <c r="I630" s="197"/>
      <c r="J630" s="196"/>
      <c r="K630" s="507"/>
    </row>
    <row r="631" spans="2:11" ht="12" customHeight="1" outlineLevel="1">
      <c r="B631" s="163" t="s">
        <v>207</v>
      </c>
      <c r="C631" s="239" t="s">
        <v>493</v>
      </c>
      <c r="D631" s="240" t="s">
        <v>469</v>
      </c>
      <c r="E631" s="151" t="s">
        <v>494</v>
      </c>
      <c r="F631" s="216"/>
      <c r="G631" s="186"/>
      <c r="H631" s="199"/>
      <c r="I631" s="199"/>
      <c r="J631" s="186" t="s">
        <v>317</v>
      </c>
      <c r="K631" s="508"/>
    </row>
    <row r="632" spans="2:11" ht="12" customHeight="1" outlineLevel="1">
      <c r="B632" s="160"/>
      <c r="C632" s="226"/>
      <c r="D632" s="227"/>
      <c r="E632" s="131"/>
      <c r="F632" s="208"/>
      <c r="G632" s="190"/>
      <c r="H632" s="191"/>
      <c r="I632" s="191"/>
      <c r="J632" s="190">
        <v>2</v>
      </c>
      <c r="K632" s="506"/>
    </row>
    <row r="633" spans="2:11" ht="12" customHeight="1" outlineLevel="1">
      <c r="B633" s="160"/>
      <c r="C633" s="226"/>
      <c r="D633" s="227"/>
      <c r="E633" s="131"/>
      <c r="F633" s="208"/>
      <c r="G633" s="190"/>
      <c r="H633" s="191"/>
      <c r="I633" s="193" t="s">
        <v>529</v>
      </c>
      <c r="J633" s="376">
        <f>SUM(J632)</f>
        <v>2</v>
      </c>
      <c r="K633" s="506"/>
    </row>
    <row r="634" spans="2:11" ht="12" customHeight="1" outlineLevel="1">
      <c r="B634" s="161"/>
      <c r="C634" s="244"/>
      <c r="D634" s="245"/>
      <c r="E634" s="138"/>
      <c r="F634" s="209"/>
      <c r="G634" s="196"/>
      <c r="H634" s="197"/>
      <c r="I634" s="197"/>
      <c r="J634" s="196"/>
      <c r="K634" s="507"/>
    </row>
    <row r="635" spans="2:11" ht="12" customHeight="1" outlineLevel="1">
      <c r="B635" s="163" t="s">
        <v>208</v>
      </c>
      <c r="C635" s="239" t="s">
        <v>496</v>
      </c>
      <c r="D635" s="240" t="s">
        <v>469</v>
      </c>
      <c r="E635" s="151" t="s">
        <v>495</v>
      </c>
      <c r="F635" s="216"/>
      <c r="G635" s="186"/>
      <c r="H635" s="199"/>
      <c r="I635" s="199"/>
      <c r="J635" s="186" t="s">
        <v>497</v>
      </c>
      <c r="K635" s="508"/>
    </row>
    <row r="636" spans="2:11" ht="12" customHeight="1" outlineLevel="1">
      <c r="B636" s="160"/>
      <c r="C636" s="226"/>
      <c r="D636" s="227"/>
      <c r="E636" s="131"/>
      <c r="F636" s="208"/>
      <c r="G636" s="190"/>
      <c r="H636" s="191"/>
      <c r="I636" s="191"/>
      <c r="J636" s="190">
        <v>1</v>
      </c>
      <c r="K636" s="506"/>
    </row>
    <row r="637" spans="2:11" ht="12" customHeight="1" outlineLevel="1">
      <c r="B637" s="160"/>
      <c r="C637" s="226"/>
      <c r="D637" s="227"/>
      <c r="E637" s="131"/>
      <c r="F637" s="208"/>
      <c r="G637" s="190"/>
      <c r="H637" s="191"/>
      <c r="I637" s="193" t="s">
        <v>529</v>
      </c>
      <c r="J637" s="376">
        <f>SUM(J636)</f>
        <v>1</v>
      </c>
      <c r="K637" s="506"/>
    </row>
    <row r="638" spans="2:11" ht="12" customHeight="1" outlineLevel="1">
      <c r="B638" s="161"/>
      <c r="C638" s="244"/>
      <c r="D638" s="245"/>
      <c r="E638" s="138"/>
      <c r="F638" s="209"/>
      <c r="G638" s="196"/>
      <c r="H638" s="197"/>
      <c r="I638" s="197"/>
      <c r="J638" s="196"/>
      <c r="K638" s="507"/>
    </row>
    <row r="639" spans="2:11" ht="12" customHeight="1" outlineLevel="1">
      <c r="B639" s="163" t="s">
        <v>209</v>
      </c>
      <c r="C639" s="346" t="s">
        <v>499</v>
      </c>
      <c r="D639" s="240" t="s">
        <v>469</v>
      </c>
      <c r="E639" s="151" t="s">
        <v>498</v>
      </c>
      <c r="F639" s="216"/>
      <c r="G639" s="186"/>
      <c r="H639" s="199"/>
      <c r="I639" s="199"/>
      <c r="J639" s="186" t="s">
        <v>318</v>
      </c>
      <c r="K639" s="508"/>
    </row>
    <row r="640" spans="2:11" ht="12" customHeight="1" outlineLevel="1">
      <c r="B640" s="160"/>
      <c r="C640" s="257"/>
      <c r="D640" s="227"/>
      <c r="E640" s="131"/>
      <c r="F640" s="208"/>
      <c r="G640" s="190"/>
      <c r="H640" s="191"/>
      <c r="I640" s="191"/>
      <c r="J640" s="190">
        <v>3</v>
      </c>
      <c r="K640" s="506" t="s">
        <v>582</v>
      </c>
    </row>
    <row r="641" spans="1:13" ht="12" customHeight="1" outlineLevel="1">
      <c r="B641" s="160"/>
      <c r="C641" s="257"/>
      <c r="D641" s="227"/>
      <c r="E641" s="131"/>
      <c r="F641" s="208"/>
      <c r="G641" s="190"/>
      <c r="H641" s="191"/>
      <c r="I641" s="193" t="s">
        <v>529</v>
      </c>
      <c r="J641" s="376">
        <f>SUM(J640)</f>
        <v>3</v>
      </c>
      <c r="K641" s="506"/>
    </row>
    <row r="642" spans="1:13" ht="12" customHeight="1" outlineLevel="1">
      <c r="B642" s="161"/>
      <c r="C642" s="348"/>
      <c r="D642" s="245"/>
      <c r="E642" s="138"/>
      <c r="F642" s="209"/>
      <c r="G642" s="196"/>
      <c r="H642" s="197"/>
      <c r="I642" s="197"/>
      <c r="J642" s="196"/>
      <c r="K642" s="507"/>
    </row>
    <row r="643" spans="1:13" s="53" customFormat="1" ht="12" customHeight="1" outlineLevel="1">
      <c r="A643" s="55"/>
      <c r="B643" s="382" t="s">
        <v>98</v>
      </c>
      <c r="C643" s="389"/>
      <c r="D643" s="389"/>
      <c r="E643" s="390" t="s">
        <v>277</v>
      </c>
      <c r="F643" s="391"/>
      <c r="G643" s="392"/>
      <c r="H643" s="387"/>
      <c r="I643" s="387"/>
      <c r="J643" s="392"/>
      <c r="K643" s="509"/>
      <c r="M643" s="58"/>
    </row>
    <row r="644" spans="1:13" ht="12" customHeight="1" outlineLevel="1">
      <c r="B644" s="163" t="s">
        <v>210</v>
      </c>
      <c r="C644" s="346">
        <v>102363</v>
      </c>
      <c r="D644" s="346" t="s">
        <v>41</v>
      </c>
      <c r="E644" s="151" t="s">
        <v>360</v>
      </c>
      <c r="F644" s="216"/>
      <c r="G644" s="186"/>
      <c r="H644" s="199" t="s">
        <v>530</v>
      </c>
      <c r="I644" s="199" t="s">
        <v>531</v>
      </c>
      <c r="J644" s="186" t="s">
        <v>316</v>
      </c>
      <c r="K644" s="508"/>
    </row>
    <row r="645" spans="1:13" ht="12" customHeight="1" outlineLevel="1">
      <c r="B645" s="160"/>
      <c r="C645" s="257"/>
      <c r="D645" s="257"/>
      <c r="E645" s="131"/>
      <c r="F645" s="208"/>
      <c r="G645" s="190"/>
      <c r="H645" s="191">
        <v>78.209999999999994</v>
      </c>
      <c r="I645" s="191">
        <v>3</v>
      </c>
      <c r="J645" s="190">
        <f>ROUND(I645*H645,2)</f>
        <v>234.63</v>
      </c>
      <c r="K645" s="506" t="s">
        <v>607</v>
      </c>
    </row>
    <row r="646" spans="1:13" ht="12" customHeight="1" outlineLevel="1">
      <c r="B646" s="160"/>
      <c r="C646" s="257"/>
      <c r="D646" s="257"/>
      <c r="E646" s="131"/>
      <c r="F646" s="208"/>
      <c r="G646" s="190"/>
      <c r="H646" s="191"/>
      <c r="I646" s="193" t="s">
        <v>529</v>
      </c>
      <c r="J646" s="194">
        <f>SUM(J645)</f>
        <v>234.63</v>
      </c>
      <c r="K646" s="506"/>
    </row>
    <row r="647" spans="1:13" ht="12" customHeight="1" outlineLevel="1">
      <c r="B647" s="161"/>
      <c r="C647" s="348"/>
      <c r="D647" s="348"/>
      <c r="E647" s="138"/>
      <c r="F647" s="209"/>
      <c r="G647" s="196"/>
      <c r="H647" s="197"/>
      <c r="I647" s="197"/>
      <c r="J647" s="196"/>
      <c r="K647" s="507"/>
    </row>
    <row r="648" spans="1:13" s="53" customFormat="1" ht="12" customHeight="1" outlineLevel="1">
      <c r="A648" s="55"/>
      <c r="B648" s="163" t="s">
        <v>211</v>
      </c>
      <c r="C648" s="239" t="s">
        <v>487</v>
      </c>
      <c r="D648" s="240" t="s">
        <v>469</v>
      </c>
      <c r="E648" s="151" t="s">
        <v>488</v>
      </c>
      <c r="F648" s="216"/>
      <c r="G648" s="186" t="s">
        <v>33</v>
      </c>
      <c r="H648" s="199" t="s">
        <v>525</v>
      </c>
      <c r="I648" s="199" t="s">
        <v>531</v>
      </c>
      <c r="J648" s="186" t="s">
        <v>316</v>
      </c>
      <c r="K648" s="508"/>
      <c r="M648" s="58"/>
    </row>
    <row r="649" spans="1:13" s="53" customFormat="1" ht="12" customHeight="1" outlineLevel="1">
      <c r="A649" s="55"/>
      <c r="B649" s="160"/>
      <c r="C649" s="226"/>
      <c r="D649" s="227"/>
      <c r="E649" s="131"/>
      <c r="F649" s="208"/>
      <c r="G649" s="190">
        <v>2</v>
      </c>
      <c r="H649" s="191">
        <v>1</v>
      </c>
      <c r="I649" s="191">
        <v>2</v>
      </c>
      <c r="J649" s="192">
        <f>I649*H649*G649</f>
        <v>4</v>
      </c>
      <c r="K649" s="506" t="s">
        <v>606</v>
      </c>
      <c r="M649" s="58"/>
    </row>
    <row r="650" spans="1:13" s="53" customFormat="1" ht="12" customHeight="1" outlineLevel="1">
      <c r="A650" s="55"/>
      <c r="B650" s="160"/>
      <c r="C650" s="226"/>
      <c r="D650" s="227"/>
      <c r="E650" s="131"/>
      <c r="F650" s="208"/>
      <c r="G650" s="190"/>
      <c r="H650" s="191"/>
      <c r="I650" s="193" t="s">
        <v>529</v>
      </c>
      <c r="J650" s="194">
        <f>SUM(J649)</f>
        <v>4</v>
      </c>
      <c r="K650" s="506"/>
      <c r="M650" s="58"/>
    </row>
    <row r="651" spans="1:13" s="53" customFormat="1" ht="12" customHeight="1" outlineLevel="1">
      <c r="A651" s="55"/>
      <c r="B651" s="161"/>
      <c r="C651" s="244"/>
      <c r="D651" s="245"/>
      <c r="E651" s="138"/>
      <c r="F651" s="209"/>
      <c r="G651" s="196"/>
      <c r="H651" s="197"/>
      <c r="I651" s="197"/>
      <c r="J651" s="198"/>
      <c r="K651" s="139"/>
      <c r="M651" s="58"/>
    </row>
    <row r="652" spans="1:13" ht="20.149999999999999" customHeight="1">
      <c r="B652" s="87"/>
      <c r="C652" s="87"/>
      <c r="D652" s="87"/>
      <c r="H652" s="126"/>
      <c r="I652" s="210"/>
      <c r="J652" s="210"/>
      <c r="K652" s="127"/>
    </row>
    <row r="653" spans="1:13" ht="13">
      <c r="B653" s="156">
        <v>20</v>
      </c>
      <c r="C653" s="157"/>
      <c r="D653" s="157"/>
      <c r="E653" s="291" t="s">
        <v>54</v>
      </c>
      <c r="F653" s="296"/>
      <c r="G653" s="182"/>
      <c r="H653" s="183"/>
      <c r="I653" s="184"/>
      <c r="J653" s="184"/>
      <c r="K653" s="145"/>
    </row>
    <row r="654" spans="1:13" s="53" customFormat="1" outlineLevel="1">
      <c r="A654" s="55"/>
      <c r="B654" s="511" t="s">
        <v>99</v>
      </c>
      <c r="C654" s="240">
        <v>99806</v>
      </c>
      <c r="D654" s="240" t="s">
        <v>41</v>
      </c>
      <c r="E654" s="151" t="s">
        <v>462</v>
      </c>
      <c r="F654" s="216"/>
      <c r="G654" s="362"/>
      <c r="H654" s="199"/>
      <c r="I654" s="199"/>
      <c r="J654" s="362" t="s">
        <v>316</v>
      </c>
      <c r="K654" s="147"/>
      <c r="M654" s="58"/>
    </row>
    <row r="655" spans="1:13" s="53" customFormat="1" outlineLevel="1">
      <c r="A655" s="55"/>
      <c r="B655" s="294"/>
      <c r="C655" s="227"/>
      <c r="D655" s="227"/>
      <c r="E655" s="131"/>
      <c r="F655" s="208"/>
      <c r="G655" s="352"/>
      <c r="H655" s="191"/>
      <c r="I655" s="191"/>
      <c r="J655" s="352">
        <f>J351</f>
        <v>329.93</v>
      </c>
      <c r="K655" s="369"/>
      <c r="M655" s="58"/>
    </row>
    <row r="656" spans="1:13" s="53" customFormat="1" ht="13" outlineLevel="1">
      <c r="A656" s="55"/>
      <c r="B656" s="294"/>
      <c r="C656" s="227"/>
      <c r="D656" s="227"/>
      <c r="E656" s="131"/>
      <c r="F656" s="208"/>
      <c r="G656" s="352"/>
      <c r="H656" s="193"/>
      <c r="I656" s="193" t="s">
        <v>529</v>
      </c>
      <c r="J656" s="376">
        <f>SUM(J655)</f>
        <v>329.93</v>
      </c>
      <c r="K656" s="369"/>
      <c r="M656" s="58"/>
    </row>
    <row r="657" spans="1:13" s="53" customFormat="1" outlineLevel="1">
      <c r="A657" s="55"/>
      <c r="B657" s="512"/>
      <c r="C657" s="245"/>
      <c r="D657" s="245"/>
      <c r="E657" s="138"/>
      <c r="F657" s="209"/>
      <c r="G657" s="363"/>
      <c r="H657" s="197"/>
      <c r="I657" s="197"/>
      <c r="J657" s="363"/>
      <c r="K657" s="457"/>
      <c r="M657" s="58"/>
    </row>
    <row r="658" spans="1:13" s="53" customFormat="1" outlineLevel="1">
      <c r="A658" s="55"/>
      <c r="B658" s="511" t="s">
        <v>212</v>
      </c>
      <c r="C658" s="240">
        <v>99820</v>
      </c>
      <c r="D658" s="240" t="s">
        <v>41</v>
      </c>
      <c r="E658" s="151" t="s">
        <v>463</v>
      </c>
      <c r="F658" s="216"/>
      <c r="G658" s="362"/>
      <c r="H658" s="199"/>
      <c r="I658" s="199"/>
      <c r="J658" s="362" t="s">
        <v>316</v>
      </c>
      <c r="K658" s="458"/>
      <c r="M658" s="58"/>
    </row>
    <row r="659" spans="1:13" s="53" customFormat="1" outlineLevel="1">
      <c r="A659" s="55"/>
      <c r="B659" s="294"/>
      <c r="C659" s="227"/>
      <c r="D659" s="227"/>
      <c r="E659" s="131"/>
      <c r="F659" s="208"/>
      <c r="G659" s="352"/>
      <c r="H659" s="191"/>
      <c r="I659" s="191"/>
      <c r="J659" s="352">
        <v>4.8</v>
      </c>
      <c r="K659" s="369" t="s">
        <v>608</v>
      </c>
      <c r="M659" s="58"/>
    </row>
    <row r="660" spans="1:13" s="53" customFormat="1" ht="13" outlineLevel="1">
      <c r="A660" s="55"/>
      <c r="B660" s="294"/>
      <c r="C660" s="227"/>
      <c r="D660" s="227"/>
      <c r="E660" s="131"/>
      <c r="F660" s="208"/>
      <c r="G660" s="352"/>
      <c r="H660" s="193"/>
      <c r="I660" s="193" t="s">
        <v>529</v>
      </c>
      <c r="J660" s="376">
        <f>SUM(J659)</f>
        <v>4.8</v>
      </c>
      <c r="K660" s="369"/>
      <c r="M660" s="58"/>
    </row>
    <row r="661" spans="1:13" s="53" customFormat="1" outlineLevel="1">
      <c r="A661" s="55"/>
      <c r="B661" s="512"/>
      <c r="C661" s="245"/>
      <c r="D661" s="245"/>
      <c r="E661" s="138"/>
      <c r="F661" s="209"/>
      <c r="G661" s="363"/>
      <c r="H661" s="197"/>
      <c r="I661" s="197"/>
      <c r="J661" s="363"/>
      <c r="K661" s="457"/>
      <c r="M661" s="58"/>
    </row>
    <row r="662" spans="1:13" s="53" customFormat="1" outlineLevel="1">
      <c r="A662" s="55"/>
      <c r="B662" s="511" t="s">
        <v>213</v>
      </c>
      <c r="C662" s="240">
        <v>99803</v>
      </c>
      <c r="D662" s="240" t="s">
        <v>41</v>
      </c>
      <c r="E662" s="151" t="s">
        <v>464</v>
      </c>
      <c r="F662" s="216"/>
      <c r="G662" s="362"/>
      <c r="H662" s="199"/>
      <c r="I662" s="199"/>
      <c r="J662" s="362" t="s">
        <v>316</v>
      </c>
      <c r="K662" s="458"/>
      <c r="M662" s="58"/>
    </row>
    <row r="663" spans="1:13" s="53" customFormat="1" outlineLevel="1">
      <c r="A663" s="55"/>
      <c r="B663" s="315"/>
      <c r="C663" s="261"/>
      <c r="D663" s="261"/>
      <c r="E663" s="154"/>
      <c r="F663" s="297"/>
      <c r="G663" s="510"/>
      <c r="H663" s="262"/>
      <c r="I663" s="262"/>
      <c r="J663" s="510">
        <v>51.28</v>
      </c>
      <c r="K663" s="460" t="s">
        <v>601</v>
      </c>
      <c r="M663" s="58"/>
    </row>
    <row r="664" spans="1:13" s="53" customFormat="1" outlineLevel="1">
      <c r="A664" s="55"/>
      <c r="B664" s="294"/>
      <c r="C664" s="227"/>
      <c r="D664" s="227"/>
      <c r="E664" s="131"/>
      <c r="F664" s="208"/>
      <c r="G664" s="352"/>
      <c r="H664" s="191"/>
      <c r="I664" s="191"/>
      <c r="J664" s="352">
        <v>3.92</v>
      </c>
      <c r="K664" s="369" t="s">
        <v>609</v>
      </c>
      <c r="M664" s="58"/>
    </row>
    <row r="665" spans="1:13" s="53" customFormat="1" ht="13" outlineLevel="1">
      <c r="A665" s="55"/>
      <c r="B665" s="294"/>
      <c r="C665" s="227"/>
      <c r="D665" s="227"/>
      <c r="E665" s="131"/>
      <c r="F665" s="208"/>
      <c r="G665" s="352"/>
      <c r="H665" s="193"/>
      <c r="I665" s="193" t="s">
        <v>529</v>
      </c>
      <c r="J665" s="376">
        <f>SUM(J663:J664)</f>
        <v>55.2</v>
      </c>
      <c r="K665" s="369"/>
      <c r="M665" s="58"/>
    </row>
    <row r="666" spans="1:13" s="53" customFormat="1" outlineLevel="1">
      <c r="A666" s="55"/>
      <c r="B666" s="512"/>
      <c r="C666" s="245"/>
      <c r="D666" s="245"/>
      <c r="E666" s="138"/>
      <c r="F666" s="209"/>
      <c r="G666" s="363"/>
      <c r="H666" s="197"/>
      <c r="I666" s="197"/>
      <c r="J666" s="363"/>
      <c r="K666" s="457"/>
      <c r="M666" s="58"/>
    </row>
    <row r="667" spans="1:13" outlineLevel="1">
      <c r="B667" s="511" t="s">
        <v>214</v>
      </c>
      <c r="C667" s="346">
        <v>99802</v>
      </c>
      <c r="D667" s="346" t="s">
        <v>41</v>
      </c>
      <c r="E667" s="151" t="s">
        <v>465</v>
      </c>
      <c r="F667" s="216"/>
      <c r="G667" s="362"/>
      <c r="H667" s="199"/>
      <c r="I667" s="199"/>
      <c r="J667" s="362" t="s">
        <v>316</v>
      </c>
      <c r="K667" s="458"/>
    </row>
    <row r="668" spans="1:13" outlineLevel="1">
      <c r="B668" s="294"/>
      <c r="C668" s="257"/>
      <c r="D668" s="257"/>
      <c r="E668" s="131"/>
      <c r="F668" s="208"/>
      <c r="G668" s="352"/>
      <c r="H668" s="191"/>
      <c r="I668" s="191"/>
      <c r="J668" s="352">
        <v>565</v>
      </c>
      <c r="K668" s="369"/>
    </row>
    <row r="669" spans="1:13" ht="13" outlineLevel="1">
      <c r="B669" s="294"/>
      <c r="C669" s="257"/>
      <c r="D669" s="257"/>
      <c r="E669" s="131"/>
      <c r="F669" s="208"/>
      <c r="G669" s="352"/>
      <c r="H669" s="193"/>
      <c r="I669" s="193" t="s">
        <v>529</v>
      </c>
      <c r="J669" s="376">
        <f>SUM(J668)</f>
        <v>565</v>
      </c>
      <c r="K669" s="369"/>
    </row>
    <row r="670" spans="1:13" outlineLevel="1">
      <c r="B670" s="512"/>
      <c r="C670" s="348"/>
      <c r="D670" s="348"/>
      <c r="E670" s="138"/>
      <c r="F670" s="209"/>
      <c r="G670" s="363"/>
      <c r="H670" s="197"/>
      <c r="I670" s="197"/>
      <c r="J670" s="363"/>
      <c r="K670" s="457"/>
    </row>
    <row r="671" spans="1:13" outlineLevel="1">
      <c r="B671" s="511" t="s">
        <v>215</v>
      </c>
      <c r="C671" s="240" t="s">
        <v>485</v>
      </c>
      <c r="D671" s="240" t="s">
        <v>469</v>
      </c>
      <c r="E671" s="151" t="s">
        <v>486</v>
      </c>
      <c r="F671" s="216"/>
      <c r="G671" s="186"/>
      <c r="H671" s="199"/>
      <c r="I671" s="199"/>
      <c r="J671" s="186" t="s">
        <v>317</v>
      </c>
      <c r="K671" s="458"/>
    </row>
    <row r="672" spans="1:13" outlineLevel="1">
      <c r="B672" s="294"/>
      <c r="C672" s="227"/>
      <c r="D672" s="227"/>
      <c r="E672" s="131"/>
      <c r="F672" s="208"/>
      <c r="G672" s="190"/>
      <c r="H672" s="191"/>
      <c r="I672" s="191"/>
      <c r="J672" s="190">
        <v>1</v>
      </c>
      <c r="K672" s="369"/>
    </row>
    <row r="673" spans="2:11" ht="13" outlineLevel="1">
      <c r="B673" s="294"/>
      <c r="C673" s="227"/>
      <c r="D673" s="227"/>
      <c r="E673" s="131"/>
      <c r="F673" s="208"/>
      <c r="G673" s="190"/>
      <c r="H673" s="193"/>
      <c r="I673" s="193" t="s">
        <v>529</v>
      </c>
      <c r="J673" s="376">
        <f>SUM(J672)</f>
        <v>1</v>
      </c>
      <c r="K673" s="369"/>
    </row>
    <row r="674" spans="2:11" ht="13">
      <c r="B674" s="161"/>
      <c r="C674" s="348"/>
      <c r="D674" s="348"/>
      <c r="E674" s="513"/>
      <c r="F674" s="514"/>
      <c r="G674" s="515"/>
      <c r="H674" s="515"/>
      <c r="I674" s="515"/>
      <c r="J674" s="516"/>
      <c r="K674" s="517"/>
    </row>
    <row r="675" spans="2:11" ht="20.149999999999999" customHeight="1">
      <c r="E675" s="21"/>
      <c r="F675" s="221"/>
      <c r="H675" s="220"/>
      <c r="I675" s="210"/>
      <c r="J675" s="210"/>
      <c r="K675" s="128"/>
    </row>
    <row r="677" spans="2:11" ht="15.5">
      <c r="B677" s="543" t="s">
        <v>523</v>
      </c>
      <c r="C677" s="543"/>
      <c r="D677" s="543"/>
      <c r="E677" s="543"/>
      <c r="F677" s="222"/>
    </row>
    <row r="678" spans="2:11">
      <c r="H678" s="548"/>
      <c r="I678" s="548"/>
      <c r="J678" s="548"/>
      <c r="K678" s="548"/>
    </row>
    <row r="679" spans="2:11" ht="15.5">
      <c r="H679" s="549" t="s">
        <v>646</v>
      </c>
      <c r="I679" s="549"/>
      <c r="J679" s="549"/>
      <c r="K679" s="549"/>
    </row>
    <row r="680" spans="2:11">
      <c r="H680" s="550" t="s">
        <v>647</v>
      </c>
      <c r="I680" s="550"/>
      <c r="J680" s="550"/>
      <c r="K680" s="550"/>
    </row>
  </sheetData>
  <dataConsolidate/>
  <mergeCells count="11">
    <mergeCell ref="H678:K678"/>
    <mergeCell ref="H679:K679"/>
    <mergeCell ref="H680:K680"/>
    <mergeCell ref="B677:E677"/>
    <mergeCell ref="F8:J8"/>
    <mergeCell ref="B6:J6"/>
    <mergeCell ref="B3:C3"/>
    <mergeCell ref="B4:C4"/>
    <mergeCell ref="D4:E4"/>
    <mergeCell ref="B5:C5"/>
    <mergeCell ref="D5:E5"/>
  </mergeCells>
  <conditionalFormatting sqref="H507:J507">
    <cfRule type="cellIs" dxfId="6" priority="2" stopIfTrue="1" operator="equal">
      <formula>0</formula>
    </cfRule>
  </conditionalFormatting>
  <printOptions horizontalCentered="1"/>
  <pageMargins left="0.19685039370078741" right="0.19685039370078741" top="0.55118110236220474" bottom="0.62992125984251968" header="0.39370078740157483" footer="0.27559055118110237"/>
  <pageSetup paperSize="9" scale="49" fitToHeight="0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7"/>
  <sheetViews>
    <sheetView zoomScaleSheetLayoutView="100" zoomScalePageLayoutView="75" workbookViewId="0">
      <selection activeCell="D5" sqref="D5:E5"/>
    </sheetView>
  </sheetViews>
  <sheetFormatPr defaultColWidth="9.1796875" defaultRowHeight="12.5" outlineLevelRow="1"/>
  <cols>
    <col min="1" max="1" width="2" style="65" customWidth="1"/>
    <col min="2" max="2" width="9.7265625" style="78" customWidth="1"/>
    <col min="3" max="3" width="16.81640625" style="78" customWidth="1"/>
    <col min="4" max="4" width="12.7265625" style="78" customWidth="1"/>
    <col min="5" max="5" width="90.1796875" style="87" customWidth="1"/>
    <col min="6" max="6" width="8.7265625" style="78" bestFit="1" customWidth="1"/>
    <col min="7" max="7" width="9.26953125" style="115" bestFit="1" customWidth="1"/>
    <col min="8" max="9" width="12" style="75" bestFit="1" customWidth="1"/>
    <col min="10" max="10" width="12.81640625" style="75" bestFit="1" customWidth="1"/>
    <col min="11" max="16384" width="9.1796875" style="65"/>
  </cols>
  <sheetData>
    <row r="1" spans="1:10" ht="85.5" customHeight="1">
      <c r="A1" s="23"/>
      <c r="B1" s="41"/>
      <c r="C1" s="41"/>
      <c r="D1" s="41"/>
      <c r="E1" s="41"/>
      <c r="F1" s="41"/>
      <c r="G1" s="41"/>
      <c r="H1" s="27"/>
      <c r="I1" s="27"/>
      <c r="J1" s="27"/>
    </row>
    <row r="2" spans="1:10" ht="20.149999999999999" customHeight="1">
      <c r="B2" s="122" t="s">
        <v>290</v>
      </c>
      <c r="C2" s="123"/>
      <c r="D2" s="116" t="s">
        <v>289</v>
      </c>
      <c r="E2" s="116"/>
      <c r="F2" s="58"/>
      <c r="G2" s="58"/>
      <c r="H2" s="64"/>
      <c r="I2" s="64"/>
      <c r="J2" s="64"/>
    </row>
    <row r="3" spans="1:10" ht="20.149999999999999" customHeight="1">
      <c r="B3" s="545" t="s">
        <v>291</v>
      </c>
      <c r="C3" s="545"/>
      <c r="D3" s="116" t="s">
        <v>292</v>
      </c>
      <c r="E3" s="116"/>
      <c r="F3" s="58"/>
      <c r="G3" s="71"/>
      <c r="H3" s="64"/>
      <c r="I3" s="64"/>
      <c r="J3" s="64"/>
    </row>
    <row r="4" spans="1:10" ht="20.149999999999999" customHeight="1">
      <c r="B4" s="545" t="s">
        <v>520</v>
      </c>
      <c r="C4" s="545"/>
      <c r="D4" s="546" t="s">
        <v>521</v>
      </c>
      <c r="E4" s="546"/>
      <c r="F4" s="58"/>
      <c r="G4" s="124"/>
      <c r="H4" s="124"/>
      <c r="I4" s="117"/>
      <c r="J4" s="65"/>
    </row>
    <row r="5" spans="1:10" ht="20.149999999999999" customHeight="1">
      <c r="B5" s="547" t="s">
        <v>522</v>
      </c>
      <c r="C5" s="547"/>
      <c r="D5" s="546" t="s">
        <v>664</v>
      </c>
      <c r="E5" s="546"/>
      <c r="F5" s="58"/>
      <c r="G5" s="117"/>
      <c r="H5" s="117"/>
      <c r="I5" s="117"/>
      <c r="J5" s="117" t="s">
        <v>294</v>
      </c>
    </row>
    <row r="6" spans="1:10" ht="20.149999999999999" customHeight="1">
      <c r="B6" s="544" t="s">
        <v>4</v>
      </c>
      <c r="C6" s="544"/>
      <c r="D6" s="544"/>
      <c r="E6" s="544"/>
      <c r="F6" s="544"/>
      <c r="G6" s="544"/>
      <c r="H6" s="544"/>
      <c r="I6" s="544"/>
      <c r="J6" s="534">
        <f>BDI!J27</f>
        <v>0.27210000000000001</v>
      </c>
    </row>
    <row r="7" spans="1:10" ht="20.149999999999999" customHeight="1" thickBot="1">
      <c r="A7" s="9"/>
      <c r="B7" s="8"/>
      <c r="C7" s="8"/>
      <c r="D7" s="8"/>
      <c r="E7" s="7"/>
      <c r="F7" s="9"/>
      <c r="G7" s="18"/>
      <c r="H7" s="35"/>
      <c r="I7" s="35"/>
      <c r="J7" s="29"/>
    </row>
    <row r="8" spans="1:10" ht="44.25" customHeight="1" thickBot="1">
      <c r="A8" s="76"/>
      <c r="B8" s="24" t="s">
        <v>0</v>
      </c>
      <c r="C8" s="25" t="s">
        <v>60</v>
      </c>
      <c r="D8" s="25" t="s">
        <v>61</v>
      </c>
      <c r="E8" s="25" t="s">
        <v>32</v>
      </c>
      <c r="F8" s="25" t="s">
        <v>226</v>
      </c>
      <c r="G8" s="26" t="s">
        <v>33</v>
      </c>
      <c r="H8" s="36" t="s">
        <v>285</v>
      </c>
      <c r="I8" s="36" t="s">
        <v>286</v>
      </c>
      <c r="J8" s="30" t="s">
        <v>34</v>
      </c>
    </row>
    <row r="9" spans="1:10" ht="20.149999999999999" customHeight="1">
      <c r="B9" s="65"/>
      <c r="C9" s="65"/>
      <c r="D9" s="65"/>
      <c r="E9" s="77"/>
      <c r="G9" s="79"/>
      <c r="J9" s="80"/>
    </row>
    <row r="10" spans="1:10" ht="20.149999999999999" customHeight="1">
      <c r="A10" s="76"/>
      <c r="B10" s="12">
        <v>1</v>
      </c>
      <c r="C10" s="5"/>
      <c r="D10" s="5"/>
      <c r="E10" s="81" t="s">
        <v>217</v>
      </c>
      <c r="F10" s="6"/>
      <c r="G10" s="19"/>
      <c r="H10" s="37"/>
      <c r="I10" s="37"/>
      <c r="J10" s="31">
        <f>SUM(J11:J19)</f>
        <v>41735.010000000009</v>
      </c>
    </row>
    <row r="11" spans="1:10" ht="31.5" customHeight="1" outlineLevel="1">
      <c r="A11" s="76"/>
      <c r="B11" s="45" t="s">
        <v>5</v>
      </c>
      <c r="C11" s="45">
        <v>103689</v>
      </c>
      <c r="D11" s="44" t="s">
        <v>41</v>
      </c>
      <c r="E11" s="82" t="s">
        <v>293</v>
      </c>
      <c r="F11" s="45" t="s">
        <v>316</v>
      </c>
      <c r="G11" s="83">
        <v>4.5</v>
      </c>
      <c r="H11" s="83">
        <v>319.22000000000003</v>
      </c>
      <c r="I11" s="66">
        <f>ROUND(H11*$J$6,2)+H11</f>
        <v>406.08000000000004</v>
      </c>
      <c r="J11" s="66">
        <f>ROUND(G11*I11,2)</f>
        <v>1827.36</v>
      </c>
    </row>
    <row r="12" spans="1:10" ht="20.149999999999999" customHeight="1" outlineLevel="1">
      <c r="A12" s="76"/>
      <c r="B12" s="45" t="s">
        <v>6</v>
      </c>
      <c r="C12" s="42">
        <v>98459</v>
      </c>
      <c r="D12" s="45" t="s">
        <v>41</v>
      </c>
      <c r="E12" s="82" t="s">
        <v>295</v>
      </c>
      <c r="F12" s="45" t="s">
        <v>316</v>
      </c>
      <c r="G12" s="83">
        <f>'MEMÓRIA DE CÁLCULO'!J17</f>
        <v>188</v>
      </c>
      <c r="H12" s="83">
        <v>90.55</v>
      </c>
      <c r="I12" s="66">
        <f t="shared" ref="I12:I19" si="0">ROUND(H12*$J$6,2)+H12</f>
        <v>115.19</v>
      </c>
      <c r="J12" s="66">
        <f t="shared" ref="J12:J19" si="1">ROUND(G12*I12,2)</f>
        <v>21655.72</v>
      </c>
    </row>
    <row r="13" spans="1:10" ht="37.5" outlineLevel="1">
      <c r="A13" s="76"/>
      <c r="B13" s="45" t="s">
        <v>37</v>
      </c>
      <c r="C13" s="84" t="s">
        <v>471</v>
      </c>
      <c r="D13" s="72" t="s">
        <v>469</v>
      </c>
      <c r="E13" s="82" t="s">
        <v>472</v>
      </c>
      <c r="F13" s="45" t="s">
        <v>317</v>
      </c>
      <c r="G13" s="83">
        <v>1</v>
      </c>
      <c r="H13" s="83">
        <v>1154.49</v>
      </c>
      <c r="I13" s="66">
        <f t="shared" si="0"/>
        <v>1468.63</v>
      </c>
      <c r="J13" s="66">
        <f t="shared" si="1"/>
        <v>1468.63</v>
      </c>
    </row>
    <row r="14" spans="1:10" ht="37.5" outlineLevel="1">
      <c r="B14" s="45" t="s">
        <v>40</v>
      </c>
      <c r="C14" s="84" t="s">
        <v>470</v>
      </c>
      <c r="D14" s="72" t="s">
        <v>469</v>
      </c>
      <c r="E14" s="82" t="s">
        <v>468</v>
      </c>
      <c r="F14" s="45" t="s">
        <v>317</v>
      </c>
      <c r="G14" s="83">
        <v>1</v>
      </c>
      <c r="H14" s="83">
        <v>375.54</v>
      </c>
      <c r="I14" s="66">
        <f t="shared" si="0"/>
        <v>477.72</v>
      </c>
      <c r="J14" s="66">
        <f t="shared" si="1"/>
        <v>477.72</v>
      </c>
    </row>
    <row r="15" spans="1:10" ht="25" outlineLevel="1">
      <c r="A15" s="76"/>
      <c r="B15" s="45" t="s">
        <v>64</v>
      </c>
      <c r="C15" s="45" t="s">
        <v>473</v>
      </c>
      <c r="D15" s="72" t="s">
        <v>469</v>
      </c>
      <c r="E15" s="82" t="s">
        <v>474</v>
      </c>
      <c r="F15" s="45" t="s">
        <v>316</v>
      </c>
      <c r="G15" s="83">
        <v>12</v>
      </c>
      <c r="H15" s="83">
        <v>554.85</v>
      </c>
      <c r="I15" s="66">
        <f t="shared" si="0"/>
        <v>705.82</v>
      </c>
      <c r="J15" s="66">
        <f t="shared" si="1"/>
        <v>8469.84</v>
      </c>
    </row>
    <row r="16" spans="1:10" ht="27" customHeight="1" outlineLevel="1">
      <c r="B16" s="45" t="s">
        <v>65</v>
      </c>
      <c r="C16" s="85">
        <v>105009</v>
      </c>
      <c r="D16" s="44" t="s">
        <v>41</v>
      </c>
      <c r="E16" s="82" t="s">
        <v>296</v>
      </c>
      <c r="F16" s="85" t="s">
        <v>318</v>
      </c>
      <c r="G16" s="83">
        <f>'MEMÓRIA DE CÁLCULO'!J34</f>
        <v>36</v>
      </c>
      <c r="H16" s="83">
        <v>95.43</v>
      </c>
      <c r="I16" s="66">
        <f t="shared" si="0"/>
        <v>121.4</v>
      </c>
      <c r="J16" s="66">
        <f t="shared" si="1"/>
        <v>4370.3999999999996</v>
      </c>
    </row>
    <row r="17" spans="2:10" ht="27" customHeight="1" outlineLevel="1">
      <c r="B17" s="45" t="s">
        <v>466</v>
      </c>
      <c r="C17" s="45">
        <v>97622</v>
      </c>
      <c r="D17" s="44" t="s">
        <v>41</v>
      </c>
      <c r="E17" s="82" t="s">
        <v>321</v>
      </c>
      <c r="F17" s="45" t="s">
        <v>319</v>
      </c>
      <c r="G17" s="83">
        <f>'MEMÓRIA DE CÁLCULO'!J38</f>
        <v>12.62</v>
      </c>
      <c r="H17" s="83">
        <v>68.78</v>
      </c>
      <c r="I17" s="66">
        <f t="shared" si="0"/>
        <v>87.5</v>
      </c>
      <c r="J17" s="66">
        <f t="shared" si="1"/>
        <v>1104.25</v>
      </c>
    </row>
    <row r="18" spans="2:10" ht="25" outlineLevel="1">
      <c r="B18" s="45" t="s">
        <v>467</v>
      </c>
      <c r="C18" s="45">
        <v>93590</v>
      </c>
      <c r="D18" s="44" t="s">
        <v>41</v>
      </c>
      <c r="E18" s="82" t="s">
        <v>322</v>
      </c>
      <c r="F18" s="45" t="s">
        <v>323</v>
      </c>
      <c r="G18" s="83">
        <f>'MEMÓRIA DE CÁLCULO'!J42</f>
        <v>643.5</v>
      </c>
      <c r="H18" s="83">
        <v>1.05</v>
      </c>
      <c r="I18" s="66">
        <f t="shared" si="0"/>
        <v>1.34</v>
      </c>
      <c r="J18" s="66">
        <f t="shared" si="1"/>
        <v>862.29</v>
      </c>
    </row>
    <row r="19" spans="2:10" ht="25" outlineLevel="1">
      <c r="B19" s="45" t="s">
        <v>509</v>
      </c>
      <c r="C19" s="45" t="s">
        <v>510</v>
      </c>
      <c r="D19" s="44" t="s">
        <v>469</v>
      </c>
      <c r="E19" s="82" t="s">
        <v>511</v>
      </c>
      <c r="F19" s="45" t="s">
        <v>512</v>
      </c>
      <c r="G19" s="83">
        <f>'MEMÓRIA DE CÁLCULO'!J46</f>
        <v>120</v>
      </c>
      <c r="H19" s="83">
        <v>9.82</v>
      </c>
      <c r="I19" s="66">
        <f t="shared" si="0"/>
        <v>12.49</v>
      </c>
      <c r="J19" s="66">
        <f t="shared" si="1"/>
        <v>1498.8</v>
      </c>
    </row>
    <row r="20" spans="2:10" ht="20.149999999999999" customHeight="1">
      <c r="B20" s="87"/>
      <c r="C20" s="87"/>
      <c r="D20" s="87"/>
      <c r="G20" s="88"/>
      <c r="H20" s="89"/>
      <c r="I20" s="89"/>
      <c r="J20" s="89"/>
    </row>
    <row r="21" spans="2:10" ht="20.149999999999999" customHeight="1">
      <c r="B21" s="12">
        <v>2</v>
      </c>
      <c r="C21" s="5"/>
      <c r="D21" s="5"/>
      <c r="E21" s="81" t="s">
        <v>227</v>
      </c>
      <c r="F21" s="6"/>
      <c r="G21" s="19"/>
      <c r="H21" s="37"/>
      <c r="I21" s="37"/>
      <c r="J21" s="31">
        <f>SUM(J22:J26)</f>
        <v>22511.93</v>
      </c>
    </row>
    <row r="22" spans="2:10" ht="25" outlineLevel="1">
      <c r="B22" s="49" t="s">
        <v>7</v>
      </c>
      <c r="C22" s="42">
        <v>96523</v>
      </c>
      <c r="D22" s="42" t="s">
        <v>41</v>
      </c>
      <c r="E22" s="82" t="s">
        <v>315</v>
      </c>
      <c r="F22" s="42" t="s">
        <v>319</v>
      </c>
      <c r="G22" s="83">
        <f>'MEMÓRIA DE CÁLCULO'!J55</f>
        <v>113.28000000000002</v>
      </c>
      <c r="H22" s="83">
        <v>113.35</v>
      </c>
      <c r="I22" s="66">
        <f t="shared" ref="I22:I26" si="2">ROUND(H22*$J$6,2)+H22</f>
        <v>144.19</v>
      </c>
      <c r="J22" s="66">
        <f t="shared" ref="J22:J26" si="3">ROUND(G22*I22,2)</f>
        <v>16333.84</v>
      </c>
    </row>
    <row r="23" spans="2:10" ht="25" outlineLevel="1">
      <c r="B23" s="49" t="s">
        <v>8</v>
      </c>
      <c r="C23" s="42">
        <v>101617</v>
      </c>
      <c r="D23" s="42" t="s">
        <v>41</v>
      </c>
      <c r="E23" s="82" t="s">
        <v>320</v>
      </c>
      <c r="F23" s="42" t="s">
        <v>316</v>
      </c>
      <c r="G23" s="83">
        <f>'MEMÓRIA DE CÁLCULO'!J62</f>
        <v>15.120000000000001</v>
      </c>
      <c r="H23" s="83">
        <v>3.77</v>
      </c>
      <c r="I23" s="66">
        <f t="shared" si="2"/>
        <v>4.8</v>
      </c>
      <c r="J23" s="66">
        <f t="shared" si="3"/>
        <v>72.58</v>
      </c>
    </row>
    <row r="24" spans="2:10" ht="20.149999999999999" customHeight="1" outlineLevel="1">
      <c r="B24" s="49" t="s">
        <v>9</v>
      </c>
      <c r="C24" s="42">
        <v>93382</v>
      </c>
      <c r="D24" s="42" t="s">
        <v>41</v>
      </c>
      <c r="E24" s="82" t="s">
        <v>314</v>
      </c>
      <c r="F24" s="42" t="s">
        <v>319</v>
      </c>
      <c r="G24" s="83">
        <f>'MEMÓRIA DE CÁLCULO'!J69</f>
        <v>74.820000000000007</v>
      </c>
      <c r="H24" s="83">
        <v>30.74</v>
      </c>
      <c r="I24" s="66">
        <f t="shared" si="2"/>
        <v>39.099999999999994</v>
      </c>
      <c r="J24" s="66">
        <f t="shared" si="3"/>
        <v>2925.46</v>
      </c>
    </row>
    <row r="25" spans="2:10" ht="20.149999999999999" customHeight="1" outlineLevel="1">
      <c r="B25" s="49" t="s">
        <v>38</v>
      </c>
      <c r="C25" s="42">
        <v>97082</v>
      </c>
      <c r="D25" s="42" t="s">
        <v>41</v>
      </c>
      <c r="E25" s="82" t="s">
        <v>313</v>
      </c>
      <c r="F25" s="42" t="s">
        <v>319</v>
      </c>
      <c r="G25" s="83">
        <f>'MEMÓRIA DE CÁLCULO'!J75</f>
        <v>26.27</v>
      </c>
      <c r="H25" s="83">
        <v>75.349999999999994</v>
      </c>
      <c r="I25" s="66">
        <f t="shared" si="2"/>
        <v>95.85</v>
      </c>
      <c r="J25" s="66">
        <f t="shared" si="3"/>
        <v>2517.98</v>
      </c>
    </row>
    <row r="26" spans="2:10" ht="20.149999999999999" customHeight="1" outlineLevel="1">
      <c r="B26" s="49" t="s">
        <v>111</v>
      </c>
      <c r="C26" s="42">
        <v>94319</v>
      </c>
      <c r="D26" s="42" t="s">
        <v>41</v>
      </c>
      <c r="E26" s="82" t="s">
        <v>312</v>
      </c>
      <c r="F26" s="42" t="s">
        <v>319</v>
      </c>
      <c r="G26" s="83">
        <f>'MEMÓRIA DE CÁLCULO'!J79</f>
        <v>6.3</v>
      </c>
      <c r="H26" s="83">
        <v>82.61</v>
      </c>
      <c r="I26" s="66">
        <f t="shared" si="2"/>
        <v>105.09</v>
      </c>
      <c r="J26" s="66">
        <f t="shared" si="3"/>
        <v>662.07</v>
      </c>
    </row>
    <row r="27" spans="2:10" ht="20.149999999999999" customHeight="1">
      <c r="B27" s="87"/>
      <c r="C27" s="87"/>
      <c r="D27" s="87"/>
      <c r="G27" s="88"/>
      <c r="H27" s="89"/>
      <c r="I27" s="89"/>
      <c r="J27" s="89"/>
    </row>
    <row r="28" spans="2:10" ht="20.149999999999999" customHeight="1">
      <c r="B28" s="12">
        <v>3</v>
      </c>
      <c r="C28" s="5"/>
      <c r="D28" s="5"/>
      <c r="E28" s="81" t="s">
        <v>216</v>
      </c>
      <c r="F28" s="6"/>
      <c r="G28" s="19"/>
      <c r="H28" s="37"/>
      <c r="I28" s="37"/>
      <c r="J28" s="31">
        <f>SUM(J30:J39)</f>
        <v>50574.840000000004</v>
      </c>
    </row>
    <row r="29" spans="2:10" ht="20.149999999999999" customHeight="1" outlineLevel="1">
      <c r="B29" s="11" t="s">
        <v>10</v>
      </c>
      <c r="C29" s="10"/>
      <c r="D29" s="10"/>
      <c r="E29" s="13" t="s">
        <v>239</v>
      </c>
      <c r="F29" s="86"/>
      <c r="G29" s="90"/>
      <c r="H29" s="91"/>
      <c r="I29" s="66"/>
      <c r="J29" s="66"/>
    </row>
    <row r="30" spans="2:10" ht="25" outlineLevel="1">
      <c r="B30" s="44" t="s">
        <v>103</v>
      </c>
      <c r="C30" s="46">
        <v>96617</v>
      </c>
      <c r="D30" s="47" t="s">
        <v>41</v>
      </c>
      <c r="E30" s="82" t="s">
        <v>297</v>
      </c>
      <c r="F30" s="46" t="s">
        <v>316</v>
      </c>
      <c r="G30" s="83">
        <f>'MEMÓRIA DE CÁLCULO'!J88</f>
        <v>60.16</v>
      </c>
      <c r="H30" s="83">
        <v>19.809999999999999</v>
      </c>
      <c r="I30" s="66">
        <f t="shared" ref="I30:I39" si="4">ROUND(H30*$J$6,2)+H30</f>
        <v>25.2</v>
      </c>
      <c r="J30" s="66">
        <f t="shared" ref="J30:J39" si="5">ROUND(G30*I30,2)</f>
        <v>1516.03</v>
      </c>
    </row>
    <row r="31" spans="2:10" ht="19.5" customHeight="1" outlineLevel="1">
      <c r="B31" s="44" t="s">
        <v>104</v>
      </c>
      <c r="C31" s="46">
        <v>92270</v>
      </c>
      <c r="D31" s="47" t="s">
        <v>41</v>
      </c>
      <c r="E31" s="82" t="s">
        <v>298</v>
      </c>
      <c r="F31" s="44" t="s">
        <v>316</v>
      </c>
      <c r="G31" s="83">
        <f>'MEMÓRIA DE CÁLCULO'!J94</f>
        <v>29.759999999999998</v>
      </c>
      <c r="H31" s="83">
        <v>231.67</v>
      </c>
      <c r="I31" s="66">
        <f t="shared" si="4"/>
        <v>294.70999999999998</v>
      </c>
      <c r="J31" s="66">
        <f t="shared" si="5"/>
        <v>8770.57</v>
      </c>
    </row>
    <row r="32" spans="2:10" ht="20.25" customHeight="1" outlineLevel="1">
      <c r="B32" s="44" t="s">
        <v>105</v>
      </c>
      <c r="C32" s="44">
        <v>92884</v>
      </c>
      <c r="D32" s="42" t="s">
        <v>41</v>
      </c>
      <c r="E32" s="82" t="s">
        <v>302</v>
      </c>
      <c r="F32" s="44" t="s">
        <v>309</v>
      </c>
      <c r="G32" s="83">
        <f>'MEMÓRIA DE CÁLCULO'!J100</f>
        <v>462.44</v>
      </c>
      <c r="H32" s="83">
        <v>12.25</v>
      </c>
      <c r="I32" s="66">
        <f t="shared" si="4"/>
        <v>15.58</v>
      </c>
      <c r="J32" s="66">
        <f t="shared" si="5"/>
        <v>7204.82</v>
      </c>
    </row>
    <row r="33" spans="2:10" ht="25" outlineLevel="1">
      <c r="B33" s="44" t="s">
        <v>106</v>
      </c>
      <c r="C33" s="46">
        <v>94965</v>
      </c>
      <c r="D33" s="47" t="s">
        <v>41</v>
      </c>
      <c r="E33" s="82" t="s">
        <v>303</v>
      </c>
      <c r="F33" s="44" t="s">
        <v>319</v>
      </c>
      <c r="G33" s="83">
        <f>'MEMÓRIA DE CÁLCULO'!J107</f>
        <v>2.2999999999999998</v>
      </c>
      <c r="H33" s="83">
        <v>453.6</v>
      </c>
      <c r="I33" s="66">
        <f t="shared" si="4"/>
        <v>577.02</v>
      </c>
      <c r="J33" s="66">
        <f t="shared" si="5"/>
        <v>1327.15</v>
      </c>
    </row>
    <row r="34" spans="2:10" ht="20.149999999999999" customHeight="1" outlineLevel="1">
      <c r="B34" s="11" t="s">
        <v>11</v>
      </c>
      <c r="C34" s="11"/>
      <c r="D34" s="11"/>
      <c r="E34" s="13" t="s">
        <v>238</v>
      </c>
      <c r="F34" s="86"/>
      <c r="G34" s="83"/>
      <c r="H34" s="83"/>
      <c r="I34" s="66"/>
      <c r="J34" s="66"/>
    </row>
    <row r="35" spans="2:10" ht="25" outlineLevel="1">
      <c r="B35" s="44" t="s">
        <v>107</v>
      </c>
      <c r="C35" s="46">
        <v>96617</v>
      </c>
      <c r="D35" s="47" t="s">
        <v>41</v>
      </c>
      <c r="E35" s="82" t="s">
        <v>297</v>
      </c>
      <c r="F35" s="46" t="s">
        <v>316</v>
      </c>
      <c r="G35" s="83">
        <f>'MEMÓRIA DE CÁLCULO'!J114</f>
        <v>26.27</v>
      </c>
      <c r="H35" s="83">
        <v>19.809999999999999</v>
      </c>
      <c r="I35" s="66">
        <f t="shared" si="4"/>
        <v>25.2</v>
      </c>
      <c r="J35" s="66">
        <f t="shared" si="5"/>
        <v>662</v>
      </c>
    </row>
    <row r="36" spans="2:10" ht="25.5" customHeight="1" outlineLevel="1">
      <c r="B36" s="44" t="s">
        <v>108</v>
      </c>
      <c r="C36" s="46">
        <v>92270</v>
      </c>
      <c r="D36" s="47" t="s">
        <v>41</v>
      </c>
      <c r="E36" s="82" t="s">
        <v>298</v>
      </c>
      <c r="F36" s="44" t="s">
        <v>316</v>
      </c>
      <c r="G36" s="83">
        <f>'MEMÓRIA DE CÁLCULO'!J120</f>
        <v>13.07</v>
      </c>
      <c r="H36" s="83">
        <v>231.67</v>
      </c>
      <c r="I36" s="66">
        <f t="shared" si="4"/>
        <v>294.70999999999998</v>
      </c>
      <c r="J36" s="66">
        <f t="shared" si="5"/>
        <v>3851.86</v>
      </c>
    </row>
    <row r="37" spans="2:10" ht="20.25" customHeight="1" outlineLevel="1">
      <c r="B37" s="44" t="s">
        <v>109</v>
      </c>
      <c r="C37" s="44">
        <v>92882</v>
      </c>
      <c r="D37" s="42" t="s">
        <v>41</v>
      </c>
      <c r="E37" s="82" t="s">
        <v>304</v>
      </c>
      <c r="F37" s="44" t="s">
        <v>309</v>
      </c>
      <c r="G37" s="83">
        <f>'MEMÓRIA DE CÁLCULO'!J126</f>
        <v>281</v>
      </c>
      <c r="H37" s="83">
        <v>13.68</v>
      </c>
      <c r="I37" s="66">
        <f t="shared" si="4"/>
        <v>17.399999999999999</v>
      </c>
      <c r="J37" s="66">
        <f t="shared" si="5"/>
        <v>4889.3999999999996</v>
      </c>
    </row>
    <row r="38" spans="2:10" ht="20.25" customHeight="1" outlineLevel="1">
      <c r="B38" s="44" t="s">
        <v>110</v>
      </c>
      <c r="C38" s="44">
        <v>92884</v>
      </c>
      <c r="D38" s="42" t="s">
        <v>41</v>
      </c>
      <c r="E38" s="82" t="s">
        <v>302</v>
      </c>
      <c r="F38" s="44" t="s">
        <v>309</v>
      </c>
      <c r="G38" s="83">
        <f>'MEMÓRIA DE CÁLCULO'!J132</f>
        <v>461.79</v>
      </c>
      <c r="H38" s="83">
        <v>12.25</v>
      </c>
      <c r="I38" s="66">
        <f t="shared" si="4"/>
        <v>15.58</v>
      </c>
      <c r="J38" s="66">
        <f t="shared" si="5"/>
        <v>7194.69</v>
      </c>
    </row>
    <row r="39" spans="2:10" ht="25" outlineLevel="1">
      <c r="B39" s="44" t="s">
        <v>112</v>
      </c>
      <c r="C39" s="46">
        <v>94965</v>
      </c>
      <c r="D39" s="47" t="s">
        <v>41</v>
      </c>
      <c r="E39" s="82" t="s">
        <v>303</v>
      </c>
      <c r="F39" s="44" t="s">
        <v>319</v>
      </c>
      <c r="G39" s="83">
        <f>'MEMÓRIA DE CÁLCULO'!J138</f>
        <v>26.27</v>
      </c>
      <c r="H39" s="83">
        <v>453.6</v>
      </c>
      <c r="I39" s="66">
        <f t="shared" si="4"/>
        <v>577.02</v>
      </c>
      <c r="J39" s="66">
        <f t="shared" si="5"/>
        <v>15158.32</v>
      </c>
    </row>
    <row r="40" spans="2:10" ht="20.149999999999999" customHeight="1">
      <c r="B40" s="87"/>
      <c r="C40" s="87"/>
      <c r="D40" s="87"/>
      <c r="G40" s="88"/>
      <c r="H40" s="89"/>
      <c r="I40" s="89"/>
      <c r="J40" s="89"/>
    </row>
    <row r="41" spans="2:10" ht="20.149999999999999" customHeight="1">
      <c r="B41" s="12">
        <v>4</v>
      </c>
      <c r="C41" s="5"/>
      <c r="D41" s="5"/>
      <c r="E41" s="81" t="s">
        <v>551</v>
      </c>
      <c r="F41" s="6"/>
      <c r="G41" s="19"/>
      <c r="H41" s="37"/>
      <c r="I41" s="37"/>
      <c r="J41" s="31">
        <f>SUM(J43:J64)</f>
        <v>227570.23</v>
      </c>
    </row>
    <row r="42" spans="2:10" ht="20.149999999999999" customHeight="1" outlineLevel="1">
      <c r="B42" s="11" t="s">
        <v>12</v>
      </c>
      <c r="C42" s="10"/>
      <c r="D42" s="10"/>
      <c r="E42" s="13" t="s">
        <v>275</v>
      </c>
      <c r="F42" s="86"/>
      <c r="G42" s="90"/>
      <c r="H42" s="91"/>
      <c r="I42" s="66"/>
      <c r="J42" s="66"/>
    </row>
    <row r="43" spans="2:10" ht="19.5" customHeight="1" outlineLevel="1">
      <c r="B43" s="49" t="s">
        <v>113</v>
      </c>
      <c r="C43" s="46">
        <v>92270</v>
      </c>
      <c r="D43" s="47" t="s">
        <v>41</v>
      </c>
      <c r="E43" s="82" t="s">
        <v>298</v>
      </c>
      <c r="F43" s="44" t="s">
        <v>316</v>
      </c>
      <c r="G43" s="83">
        <f>'MEMÓRIA DE CÁLCULO'!J147</f>
        <v>46.83</v>
      </c>
      <c r="H43" s="83">
        <v>231.67</v>
      </c>
      <c r="I43" s="66">
        <f t="shared" ref="I43:I64" si="6">ROUND(H43*$J$6,2)+H43</f>
        <v>294.70999999999998</v>
      </c>
      <c r="J43" s="66">
        <f t="shared" ref="J43:J64" si="7">ROUND(G43*I43,2)</f>
        <v>13801.27</v>
      </c>
    </row>
    <row r="44" spans="2:10" ht="19.5" customHeight="1" outlineLevel="1">
      <c r="B44" s="49" t="s">
        <v>114</v>
      </c>
      <c r="C44" s="44">
        <v>92882</v>
      </c>
      <c r="D44" s="42" t="s">
        <v>41</v>
      </c>
      <c r="E44" s="82" t="s">
        <v>304</v>
      </c>
      <c r="F44" s="44" t="s">
        <v>309</v>
      </c>
      <c r="G44" s="83">
        <f>'MEMÓRIA DE CÁLCULO'!J154</f>
        <v>236.23000000000002</v>
      </c>
      <c r="H44" s="83">
        <v>13.68</v>
      </c>
      <c r="I44" s="66">
        <f t="shared" si="6"/>
        <v>17.399999999999999</v>
      </c>
      <c r="J44" s="66">
        <f t="shared" si="7"/>
        <v>4110.3999999999996</v>
      </c>
    </row>
    <row r="45" spans="2:10" ht="19.5" customHeight="1" outlineLevel="1">
      <c r="B45" s="49" t="s">
        <v>115</v>
      </c>
      <c r="C45" s="44">
        <v>92884</v>
      </c>
      <c r="D45" s="42" t="s">
        <v>41</v>
      </c>
      <c r="E45" s="82" t="s">
        <v>302</v>
      </c>
      <c r="F45" s="44" t="s">
        <v>309</v>
      </c>
      <c r="G45" s="83">
        <f>'MEMÓRIA DE CÁLCULO'!J161</f>
        <v>482.72</v>
      </c>
      <c r="H45" s="83">
        <v>12.25</v>
      </c>
      <c r="I45" s="66">
        <f t="shared" si="6"/>
        <v>15.58</v>
      </c>
      <c r="J45" s="66">
        <f t="shared" si="7"/>
        <v>7520.78</v>
      </c>
    </row>
    <row r="46" spans="2:10" ht="25" outlineLevel="1">
      <c r="B46" s="49" t="s">
        <v>116</v>
      </c>
      <c r="C46" s="46">
        <v>94965</v>
      </c>
      <c r="D46" s="47" t="s">
        <v>41</v>
      </c>
      <c r="E46" s="82" t="s">
        <v>303</v>
      </c>
      <c r="F46" s="44" t="s">
        <v>319</v>
      </c>
      <c r="G46" s="83">
        <f>'MEMÓRIA DE CÁLCULO'!J168</f>
        <v>8.8000000000000007</v>
      </c>
      <c r="H46" s="83">
        <v>453.6</v>
      </c>
      <c r="I46" s="66">
        <f t="shared" si="6"/>
        <v>577.02</v>
      </c>
      <c r="J46" s="66">
        <f t="shared" si="7"/>
        <v>5077.78</v>
      </c>
    </row>
    <row r="47" spans="2:10" ht="20.149999999999999" customHeight="1" outlineLevel="1">
      <c r="B47" s="11" t="s">
        <v>13</v>
      </c>
      <c r="C47" s="11"/>
      <c r="D47" s="11"/>
      <c r="E47" s="13" t="s">
        <v>84</v>
      </c>
      <c r="F47" s="86"/>
      <c r="G47" s="83"/>
      <c r="H47" s="83"/>
      <c r="I47" s="66"/>
      <c r="J47" s="66"/>
    </row>
    <row r="48" spans="2:10" ht="20.149999999999999" customHeight="1" outlineLevel="1">
      <c r="B48" s="70" t="s">
        <v>117</v>
      </c>
      <c r="C48" s="44">
        <v>92271</v>
      </c>
      <c r="D48" s="42" t="s">
        <v>41</v>
      </c>
      <c r="E48" s="82" t="s">
        <v>299</v>
      </c>
      <c r="F48" s="44" t="s">
        <v>316</v>
      </c>
      <c r="G48" s="83">
        <f>'MEMÓRIA DE CÁLCULO'!J175</f>
        <v>63.6</v>
      </c>
      <c r="H48" s="83">
        <v>153.06</v>
      </c>
      <c r="I48" s="66">
        <f t="shared" si="6"/>
        <v>194.71</v>
      </c>
      <c r="J48" s="66">
        <f t="shared" si="7"/>
        <v>12383.56</v>
      </c>
    </row>
    <row r="49" spans="2:10" ht="19.5" customHeight="1" outlineLevel="1">
      <c r="B49" s="70" t="s">
        <v>118</v>
      </c>
      <c r="C49" s="44">
        <v>92882</v>
      </c>
      <c r="D49" s="42" t="s">
        <v>41</v>
      </c>
      <c r="E49" s="82" t="s">
        <v>304</v>
      </c>
      <c r="F49" s="44" t="s">
        <v>309</v>
      </c>
      <c r="G49" s="83">
        <f>'MEMÓRIA DE CÁLCULO'!J182</f>
        <v>1269.3800000000001</v>
      </c>
      <c r="H49" s="83">
        <v>13.68</v>
      </c>
      <c r="I49" s="66">
        <f t="shared" si="6"/>
        <v>17.399999999999999</v>
      </c>
      <c r="J49" s="66">
        <f t="shared" si="7"/>
        <v>22087.21</v>
      </c>
    </row>
    <row r="50" spans="2:10" ht="19.5" customHeight="1" outlineLevel="1">
      <c r="B50" s="70" t="s">
        <v>119</v>
      </c>
      <c r="C50" s="44">
        <v>92884</v>
      </c>
      <c r="D50" s="42" t="s">
        <v>41</v>
      </c>
      <c r="E50" s="82" t="s">
        <v>302</v>
      </c>
      <c r="F50" s="44" t="s">
        <v>309</v>
      </c>
      <c r="G50" s="83">
        <f>'MEMÓRIA DE CÁLCULO'!J189</f>
        <v>548.29900000000009</v>
      </c>
      <c r="H50" s="83">
        <v>12.25</v>
      </c>
      <c r="I50" s="66">
        <f t="shared" si="6"/>
        <v>15.58</v>
      </c>
      <c r="J50" s="66">
        <f t="shared" si="7"/>
        <v>8542.5</v>
      </c>
    </row>
    <row r="51" spans="2:10" ht="25" outlineLevel="1">
      <c r="B51" s="70" t="s">
        <v>218</v>
      </c>
      <c r="C51" s="46">
        <v>103674</v>
      </c>
      <c r="D51" s="47" t="s">
        <v>41</v>
      </c>
      <c r="E51" s="82" t="s">
        <v>305</v>
      </c>
      <c r="F51" s="44" t="s">
        <v>319</v>
      </c>
      <c r="G51" s="83">
        <f>'MEMÓRIA DE CÁLCULO'!J197</f>
        <v>17.16</v>
      </c>
      <c r="H51" s="83">
        <v>639.95000000000005</v>
      </c>
      <c r="I51" s="66">
        <f t="shared" si="6"/>
        <v>814.08</v>
      </c>
      <c r="J51" s="66">
        <f t="shared" si="7"/>
        <v>13969.61</v>
      </c>
    </row>
    <row r="52" spans="2:10" ht="25" outlineLevel="1">
      <c r="B52" s="70" t="s">
        <v>219</v>
      </c>
      <c r="C52" s="47">
        <v>101964</v>
      </c>
      <c r="D52" s="47" t="s">
        <v>41</v>
      </c>
      <c r="E52" s="82" t="s">
        <v>308</v>
      </c>
      <c r="F52" s="44" t="s">
        <v>316</v>
      </c>
      <c r="G52" s="83">
        <f>'MEMÓRIA DE CÁLCULO'!J201</f>
        <v>85.08</v>
      </c>
      <c r="H52" s="83">
        <v>187.35</v>
      </c>
      <c r="I52" s="66">
        <f t="shared" si="6"/>
        <v>238.32999999999998</v>
      </c>
      <c r="J52" s="66">
        <f t="shared" si="7"/>
        <v>20277.12</v>
      </c>
    </row>
    <row r="53" spans="2:10" ht="20.149999999999999" customHeight="1" outlineLevel="1">
      <c r="B53" s="11" t="s">
        <v>31</v>
      </c>
      <c r="C53" s="44"/>
      <c r="D53" s="42"/>
      <c r="E53" s="13" t="s">
        <v>274</v>
      </c>
      <c r="F53" s="44"/>
      <c r="G53" s="83"/>
      <c r="H53" s="83"/>
      <c r="I53" s="66"/>
      <c r="J53" s="66"/>
    </row>
    <row r="54" spans="2:10" ht="20.149999999999999" customHeight="1" outlineLevel="1">
      <c r="B54" s="70" t="s">
        <v>120</v>
      </c>
      <c r="C54" s="44">
        <v>92271</v>
      </c>
      <c r="D54" s="42" t="s">
        <v>41</v>
      </c>
      <c r="E54" s="82" t="s">
        <v>299</v>
      </c>
      <c r="F54" s="44" t="s">
        <v>316</v>
      </c>
      <c r="G54" s="83">
        <f>'MEMÓRIA DE CÁLCULO'!J206</f>
        <v>48.33</v>
      </c>
      <c r="H54" s="83">
        <v>153.06</v>
      </c>
      <c r="I54" s="66">
        <f t="shared" si="6"/>
        <v>194.71</v>
      </c>
      <c r="J54" s="66">
        <f t="shared" si="7"/>
        <v>9410.33</v>
      </c>
    </row>
    <row r="55" spans="2:10" ht="19.5" customHeight="1" outlineLevel="1">
      <c r="B55" s="70" t="s">
        <v>121</v>
      </c>
      <c r="C55" s="44">
        <v>92882</v>
      </c>
      <c r="D55" s="42" t="s">
        <v>41</v>
      </c>
      <c r="E55" s="82" t="s">
        <v>304</v>
      </c>
      <c r="F55" s="44" t="s">
        <v>309</v>
      </c>
      <c r="G55" s="83">
        <f>'MEMÓRIA DE CÁLCULO'!J210</f>
        <v>80</v>
      </c>
      <c r="H55" s="83">
        <v>13.68</v>
      </c>
      <c r="I55" s="66">
        <f t="shared" si="6"/>
        <v>17.399999999999999</v>
      </c>
      <c r="J55" s="66">
        <f t="shared" si="7"/>
        <v>1392</v>
      </c>
    </row>
    <row r="56" spans="2:10" ht="19.5" customHeight="1" outlineLevel="1">
      <c r="B56" s="70" t="s">
        <v>122</v>
      </c>
      <c r="C56" s="44">
        <v>92884</v>
      </c>
      <c r="D56" s="42" t="s">
        <v>41</v>
      </c>
      <c r="E56" s="82" t="s">
        <v>302</v>
      </c>
      <c r="F56" s="44" t="s">
        <v>309</v>
      </c>
      <c r="G56" s="83">
        <f>'MEMÓRIA DE CÁLCULO'!J214</f>
        <v>200</v>
      </c>
      <c r="H56" s="83">
        <v>12.25</v>
      </c>
      <c r="I56" s="66">
        <f t="shared" si="6"/>
        <v>15.58</v>
      </c>
      <c r="J56" s="66">
        <f t="shared" si="7"/>
        <v>3116</v>
      </c>
    </row>
    <row r="57" spans="2:10" ht="37.5" outlineLevel="1">
      <c r="B57" s="70" t="s">
        <v>123</v>
      </c>
      <c r="C57" s="46">
        <v>103184</v>
      </c>
      <c r="D57" s="47" t="s">
        <v>41</v>
      </c>
      <c r="E57" s="82" t="s">
        <v>306</v>
      </c>
      <c r="F57" s="44" t="s">
        <v>319</v>
      </c>
      <c r="G57" s="83">
        <f>'MEMÓRIA DE CÁLCULO'!J218</f>
        <v>16.739999999999998</v>
      </c>
      <c r="H57" s="83">
        <v>628.07000000000005</v>
      </c>
      <c r="I57" s="66">
        <f t="shared" si="6"/>
        <v>798.97</v>
      </c>
      <c r="J57" s="66">
        <f t="shared" si="7"/>
        <v>13374.76</v>
      </c>
    </row>
    <row r="58" spans="2:10" ht="20.149999999999999" customHeight="1" outlineLevel="1">
      <c r="B58" s="11" t="s">
        <v>68</v>
      </c>
      <c r="C58" s="44"/>
      <c r="D58" s="42"/>
      <c r="E58" s="13" t="s">
        <v>273</v>
      </c>
      <c r="F58" s="44"/>
      <c r="G58" s="83"/>
      <c r="H58" s="83"/>
      <c r="I58" s="66"/>
      <c r="J58" s="66"/>
    </row>
    <row r="59" spans="2:10" ht="20.149999999999999" customHeight="1" outlineLevel="1">
      <c r="B59" s="70" t="s">
        <v>124</v>
      </c>
      <c r="C59" s="44">
        <v>92271</v>
      </c>
      <c r="D59" s="42" t="s">
        <v>41</v>
      </c>
      <c r="E59" s="82" t="s">
        <v>299</v>
      </c>
      <c r="F59" s="44" t="s">
        <v>316</v>
      </c>
      <c r="G59" s="83">
        <f>'MEMÓRIA DE CÁLCULO'!J223</f>
        <v>15.57</v>
      </c>
      <c r="H59" s="83">
        <v>153.06</v>
      </c>
      <c r="I59" s="66">
        <f t="shared" si="6"/>
        <v>194.71</v>
      </c>
      <c r="J59" s="66">
        <f t="shared" si="7"/>
        <v>3031.63</v>
      </c>
    </row>
    <row r="60" spans="2:10" ht="25" outlineLevel="1">
      <c r="B60" s="70" t="s">
        <v>125</v>
      </c>
      <c r="C60" s="44">
        <v>97088</v>
      </c>
      <c r="D60" s="42" t="s">
        <v>41</v>
      </c>
      <c r="E60" s="82" t="s">
        <v>310</v>
      </c>
      <c r="F60" s="44" t="s">
        <v>309</v>
      </c>
      <c r="G60" s="83">
        <f>'MEMÓRIA DE CÁLCULO'!J227</f>
        <v>893.92</v>
      </c>
      <c r="H60" s="83">
        <v>17.38</v>
      </c>
      <c r="I60" s="66">
        <f t="shared" si="6"/>
        <v>22.11</v>
      </c>
      <c r="J60" s="66">
        <f t="shared" si="7"/>
        <v>19764.57</v>
      </c>
    </row>
    <row r="61" spans="2:10" ht="25" outlineLevel="1">
      <c r="B61" s="70" t="s">
        <v>126</v>
      </c>
      <c r="C61" s="46">
        <v>103675</v>
      </c>
      <c r="D61" s="47" t="s">
        <v>41</v>
      </c>
      <c r="E61" s="82" t="s">
        <v>307</v>
      </c>
      <c r="F61" s="44" t="s">
        <v>319</v>
      </c>
      <c r="G61" s="83">
        <f>'MEMÓRIA DE CÁLCULO'!J231</f>
        <v>48.32</v>
      </c>
      <c r="H61" s="83">
        <v>616.08000000000004</v>
      </c>
      <c r="I61" s="66">
        <f t="shared" si="6"/>
        <v>783.72</v>
      </c>
      <c r="J61" s="66">
        <f t="shared" si="7"/>
        <v>37869.35</v>
      </c>
    </row>
    <row r="62" spans="2:10" ht="25" outlineLevel="1">
      <c r="B62" s="70" t="s">
        <v>127</v>
      </c>
      <c r="C62" s="46">
        <v>97097</v>
      </c>
      <c r="D62" s="47" t="s">
        <v>41</v>
      </c>
      <c r="E62" s="82" t="s">
        <v>333</v>
      </c>
      <c r="F62" s="44" t="s">
        <v>316</v>
      </c>
      <c r="G62" s="83">
        <f>'MEMÓRIA DE CÁLCULO'!J235</f>
        <v>565.27</v>
      </c>
      <c r="H62" s="83">
        <v>43.83</v>
      </c>
      <c r="I62" s="66">
        <f t="shared" si="6"/>
        <v>55.76</v>
      </c>
      <c r="J62" s="66">
        <f t="shared" si="7"/>
        <v>31519.46</v>
      </c>
    </row>
    <row r="63" spans="2:10" ht="20.149999999999999" customHeight="1" outlineLevel="1">
      <c r="B63" s="11" t="s">
        <v>85</v>
      </c>
      <c r="C63" s="44"/>
      <c r="D63" s="42"/>
      <c r="E63" s="13" t="s">
        <v>241</v>
      </c>
      <c r="F63" s="44"/>
      <c r="G63" s="83"/>
      <c r="H63" s="83"/>
      <c r="I63" s="66"/>
      <c r="J63" s="66"/>
    </row>
    <row r="64" spans="2:10" ht="25.5" customHeight="1" outlineLevel="1">
      <c r="B64" s="49" t="s">
        <v>128</v>
      </c>
      <c r="C64" s="44">
        <v>93187</v>
      </c>
      <c r="D64" s="42" t="s">
        <v>41</v>
      </c>
      <c r="E64" s="82" t="s">
        <v>311</v>
      </c>
      <c r="F64" s="44" t="s">
        <v>318</v>
      </c>
      <c r="G64" s="83">
        <f>'MEMÓRIA DE CÁLCULO'!J240</f>
        <v>3</v>
      </c>
      <c r="H64" s="83">
        <v>84.35</v>
      </c>
      <c r="I64" s="66">
        <f t="shared" si="6"/>
        <v>107.3</v>
      </c>
      <c r="J64" s="66">
        <f t="shared" si="7"/>
        <v>321.89999999999998</v>
      </c>
    </row>
    <row r="65" spans="1:12" ht="20.149999999999999" customHeight="1">
      <c r="B65" s="87"/>
      <c r="C65" s="87"/>
      <c r="D65" s="87"/>
      <c r="G65" s="88"/>
      <c r="H65" s="89"/>
      <c r="I65" s="89"/>
      <c r="J65" s="89"/>
    </row>
    <row r="66" spans="1:12" ht="20.149999999999999" customHeight="1">
      <c r="B66" s="12">
        <v>5</v>
      </c>
      <c r="C66" s="5"/>
      <c r="D66" s="5"/>
      <c r="E66" s="6" t="s">
        <v>228</v>
      </c>
      <c r="F66" s="6"/>
      <c r="G66" s="19"/>
      <c r="H66" s="37"/>
      <c r="I66" s="37"/>
      <c r="J66" s="31">
        <f>J67+J68+J69</f>
        <v>50167.56</v>
      </c>
    </row>
    <row r="67" spans="1:12" ht="25" outlineLevel="1">
      <c r="B67" s="49" t="s">
        <v>14</v>
      </c>
      <c r="C67" s="47">
        <v>103323</v>
      </c>
      <c r="D67" s="47" t="s">
        <v>41</v>
      </c>
      <c r="E67" s="74" t="s">
        <v>324</v>
      </c>
      <c r="F67" s="45" t="s">
        <v>316</v>
      </c>
      <c r="G67" s="83">
        <f>'MEMÓRIA DE CÁLCULO'!J248</f>
        <v>195.06</v>
      </c>
      <c r="H67" s="83">
        <v>60.87</v>
      </c>
      <c r="I67" s="66">
        <f t="shared" ref="I67:I69" si="8">ROUND(H67*$J$6,2)+H67</f>
        <v>77.429999999999993</v>
      </c>
      <c r="J67" s="66">
        <f t="shared" ref="J67:J69" si="9">ROUND(G67*I67,2)</f>
        <v>15103.5</v>
      </c>
    </row>
    <row r="68" spans="1:12" ht="25" outlineLevel="1">
      <c r="B68" s="49" t="s">
        <v>549</v>
      </c>
      <c r="C68" s="47">
        <v>103316</v>
      </c>
      <c r="D68" s="47" t="s">
        <v>41</v>
      </c>
      <c r="E68" s="74" t="s">
        <v>548</v>
      </c>
      <c r="F68" s="45" t="s">
        <v>316</v>
      </c>
      <c r="G68" s="83">
        <f>'MEMÓRIA DE CÁLCULO'!J253</f>
        <v>158.63999999999999</v>
      </c>
      <c r="H68" s="83">
        <v>75.59</v>
      </c>
      <c r="I68" s="66">
        <f t="shared" si="8"/>
        <v>96.16</v>
      </c>
      <c r="J68" s="66">
        <f t="shared" si="9"/>
        <v>15254.82</v>
      </c>
    </row>
    <row r="69" spans="1:12" ht="25" outlineLevel="1">
      <c r="B69" s="49" t="s">
        <v>550</v>
      </c>
      <c r="C69" s="47">
        <v>103320</v>
      </c>
      <c r="D69" s="47" t="s">
        <v>41</v>
      </c>
      <c r="E69" s="74" t="s">
        <v>547</v>
      </c>
      <c r="F69" s="45" t="s">
        <v>316</v>
      </c>
      <c r="G69" s="83">
        <f>'MEMÓRIA DE CÁLCULO'!J257</f>
        <v>132</v>
      </c>
      <c r="H69" s="83">
        <v>117.97</v>
      </c>
      <c r="I69" s="66">
        <f t="shared" si="8"/>
        <v>150.07</v>
      </c>
      <c r="J69" s="66">
        <f t="shared" si="9"/>
        <v>19809.240000000002</v>
      </c>
    </row>
    <row r="70" spans="1:12" ht="20.149999999999999" customHeight="1">
      <c r="B70" s="87"/>
      <c r="C70" s="87"/>
      <c r="D70" s="87"/>
      <c r="G70" s="88"/>
      <c r="H70" s="89"/>
      <c r="I70" s="89"/>
      <c r="J70" s="89"/>
    </row>
    <row r="71" spans="1:12" ht="20.149999999999999" customHeight="1">
      <c r="B71" s="12">
        <v>6</v>
      </c>
      <c r="C71" s="5"/>
      <c r="D71" s="5"/>
      <c r="E71" s="6" t="s">
        <v>2</v>
      </c>
      <c r="F71" s="6"/>
      <c r="G71" s="19"/>
      <c r="H71" s="37"/>
      <c r="I71" s="37"/>
      <c r="J71" s="31">
        <f>SUM(J73:J81)</f>
        <v>16497.830000000002</v>
      </c>
    </row>
    <row r="72" spans="1:12" ht="20.149999999999999" customHeight="1" outlineLevel="1">
      <c r="B72" s="40" t="s">
        <v>15</v>
      </c>
      <c r="C72" s="1"/>
      <c r="D72" s="1"/>
      <c r="E72" s="22" t="s">
        <v>42</v>
      </c>
      <c r="F72" s="45"/>
      <c r="G72" s="92"/>
      <c r="H72" s="66"/>
      <c r="I72" s="66"/>
      <c r="J72" s="66"/>
    </row>
    <row r="73" spans="1:12" ht="30" customHeight="1" outlineLevel="1">
      <c r="B73" s="49" t="s">
        <v>129</v>
      </c>
      <c r="C73" s="42">
        <v>90844</v>
      </c>
      <c r="D73" s="42" t="s">
        <v>41</v>
      </c>
      <c r="E73" s="82" t="s">
        <v>363</v>
      </c>
      <c r="F73" s="45" t="s">
        <v>317</v>
      </c>
      <c r="G73" s="83">
        <f>'MEMÓRIA DE CÁLCULO'!J264</f>
        <v>3</v>
      </c>
      <c r="H73" s="83">
        <v>1307.9000000000001</v>
      </c>
      <c r="I73" s="66">
        <f t="shared" ref="I73:I81" si="10">ROUND(H73*$J$6,2)+H73</f>
        <v>1663.7800000000002</v>
      </c>
      <c r="J73" s="66">
        <f t="shared" ref="J73:J81" si="11">ROUND(G73*I73,2)</f>
        <v>4991.34</v>
      </c>
    </row>
    <row r="74" spans="1:12" ht="25" outlineLevel="1">
      <c r="B74" s="49" t="s">
        <v>130</v>
      </c>
      <c r="C74" s="42">
        <v>91341</v>
      </c>
      <c r="D74" s="42" t="s">
        <v>41</v>
      </c>
      <c r="E74" s="82" t="s">
        <v>325</v>
      </c>
      <c r="F74" s="45" t="s">
        <v>316</v>
      </c>
      <c r="G74" s="83">
        <f>'MEMÓRIA DE CÁLCULO'!J269</f>
        <v>2.5499999999999998</v>
      </c>
      <c r="H74" s="83">
        <v>703.33</v>
      </c>
      <c r="I74" s="66">
        <f t="shared" si="10"/>
        <v>894.71</v>
      </c>
      <c r="J74" s="66">
        <f t="shared" si="11"/>
        <v>2281.5100000000002</v>
      </c>
    </row>
    <row r="75" spans="1:12" ht="20.149999999999999" customHeight="1" outlineLevel="1">
      <c r="B75" s="40" t="s">
        <v>16</v>
      </c>
      <c r="C75" s="42"/>
      <c r="D75" s="49"/>
      <c r="E75" s="22" t="s">
        <v>43</v>
      </c>
      <c r="F75" s="45"/>
      <c r="G75" s="83"/>
      <c r="H75" s="83"/>
      <c r="I75" s="66"/>
      <c r="J75" s="66"/>
    </row>
    <row r="76" spans="1:12" s="53" customFormat="1" ht="25" outlineLevel="1">
      <c r="A76" s="55"/>
      <c r="B76" s="47" t="s">
        <v>131</v>
      </c>
      <c r="C76" s="47">
        <v>100868</v>
      </c>
      <c r="D76" s="42" t="s">
        <v>41</v>
      </c>
      <c r="E76" s="82" t="s">
        <v>361</v>
      </c>
      <c r="F76" s="45" t="s">
        <v>317</v>
      </c>
      <c r="G76" s="61">
        <f>'MEMÓRIA DE CÁLCULO'!J274</f>
        <v>8</v>
      </c>
      <c r="H76" s="83">
        <v>293.13</v>
      </c>
      <c r="I76" s="66">
        <f t="shared" si="10"/>
        <v>372.89</v>
      </c>
      <c r="J76" s="66">
        <f t="shared" si="11"/>
        <v>2983.12</v>
      </c>
      <c r="L76" s="58"/>
    </row>
    <row r="77" spans="1:12" ht="20.149999999999999" customHeight="1" outlineLevel="1">
      <c r="B77" s="40" t="s">
        <v>17</v>
      </c>
      <c r="C77" s="42"/>
      <c r="D77" s="42"/>
      <c r="E77" s="22" t="s">
        <v>44</v>
      </c>
      <c r="F77" s="14"/>
      <c r="G77" s="83"/>
      <c r="H77" s="83"/>
      <c r="I77" s="66"/>
      <c r="J77" s="66"/>
    </row>
    <row r="78" spans="1:12" ht="25" outlineLevel="1">
      <c r="B78" s="49" t="s">
        <v>132</v>
      </c>
      <c r="C78" s="42">
        <v>94569</v>
      </c>
      <c r="D78" s="42" t="s">
        <v>41</v>
      </c>
      <c r="E78" s="82" t="s">
        <v>513</v>
      </c>
      <c r="F78" s="45" t="s">
        <v>316</v>
      </c>
      <c r="G78" s="83">
        <f>'MEMÓRIA DE CÁLCULO'!J281</f>
        <v>4.8000000000000007</v>
      </c>
      <c r="H78" s="83">
        <v>762.48</v>
      </c>
      <c r="I78" s="66">
        <f t="shared" si="10"/>
        <v>969.95</v>
      </c>
      <c r="J78" s="66">
        <f t="shared" si="11"/>
        <v>4655.76</v>
      </c>
    </row>
    <row r="79" spans="1:12" ht="29.25" customHeight="1" outlineLevel="1">
      <c r="B79" s="49" t="s">
        <v>133</v>
      </c>
      <c r="C79" s="42">
        <v>94589</v>
      </c>
      <c r="D79" s="42" t="s">
        <v>41</v>
      </c>
      <c r="E79" s="82" t="s">
        <v>514</v>
      </c>
      <c r="F79" s="45" t="s">
        <v>318</v>
      </c>
      <c r="G79" s="83">
        <f>'MEMÓRIA DE CÁLCULO'!J287</f>
        <v>30.400000000000002</v>
      </c>
      <c r="H79" s="83">
        <v>25.38</v>
      </c>
      <c r="I79" s="66">
        <f t="shared" si="10"/>
        <v>32.29</v>
      </c>
      <c r="J79" s="66">
        <f t="shared" si="11"/>
        <v>981.62</v>
      </c>
    </row>
    <row r="80" spans="1:12" ht="20.149999999999999" customHeight="1" outlineLevel="1">
      <c r="B80" s="40" t="s">
        <v>18</v>
      </c>
      <c r="C80" s="42"/>
      <c r="D80" s="42"/>
      <c r="E80" s="22" t="s">
        <v>45</v>
      </c>
      <c r="F80" s="42"/>
      <c r="G80" s="83"/>
      <c r="H80" s="83"/>
      <c r="I80" s="66"/>
      <c r="J80" s="66"/>
    </row>
    <row r="81" spans="2:10" ht="37.5" outlineLevel="1">
      <c r="B81" s="49" t="s">
        <v>134</v>
      </c>
      <c r="C81" s="42" t="s">
        <v>475</v>
      </c>
      <c r="D81" s="42" t="s">
        <v>469</v>
      </c>
      <c r="E81" s="82" t="s">
        <v>476</v>
      </c>
      <c r="F81" s="45" t="s">
        <v>317</v>
      </c>
      <c r="G81" s="83">
        <f>'MEMÓRIA DE CÁLCULO'!J292</f>
        <v>2</v>
      </c>
      <c r="H81" s="83">
        <v>237.59</v>
      </c>
      <c r="I81" s="66">
        <f t="shared" si="10"/>
        <v>302.24</v>
      </c>
      <c r="J81" s="66">
        <f t="shared" si="11"/>
        <v>604.48</v>
      </c>
    </row>
    <row r="82" spans="2:10" ht="20.149999999999999" customHeight="1">
      <c r="B82" s="87"/>
      <c r="C82" s="87"/>
      <c r="D82" s="87"/>
      <c r="G82" s="88"/>
      <c r="H82" s="89"/>
      <c r="I82" s="89"/>
      <c r="J82" s="89"/>
    </row>
    <row r="83" spans="2:10" ht="20.149999999999999" customHeight="1">
      <c r="B83" s="12">
        <v>7</v>
      </c>
      <c r="C83" s="5"/>
      <c r="D83" s="5"/>
      <c r="E83" s="6" t="s">
        <v>229</v>
      </c>
      <c r="F83" s="6"/>
      <c r="G83" s="19"/>
      <c r="H83" s="37"/>
      <c r="I83" s="37"/>
      <c r="J83" s="31">
        <f>SUM(J84:J87)</f>
        <v>184548.5</v>
      </c>
    </row>
    <row r="84" spans="2:10" ht="25" outlineLevel="1">
      <c r="B84" s="49" t="s">
        <v>19</v>
      </c>
      <c r="C84" s="47">
        <v>94213</v>
      </c>
      <c r="D84" s="47" t="s">
        <v>41</v>
      </c>
      <c r="E84" s="43" t="s">
        <v>300</v>
      </c>
      <c r="F84" s="45" t="s">
        <v>316</v>
      </c>
      <c r="G84" s="83">
        <f>'MEMÓRIA DE CÁLCULO'!J298</f>
        <v>864</v>
      </c>
      <c r="H84" s="83">
        <v>68.150000000000006</v>
      </c>
      <c r="I84" s="66">
        <f t="shared" ref="I84:I87" si="12">ROUND(H84*$J$6,2)+H84</f>
        <v>86.69</v>
      </c>
      <c r="J84" s="66">
        <f t="shared" ref="J84:J87" si="13">ROUND(G84*I84,2)</f>
        <v>74900.160000000003</v>
      </c>
    </row>
    <row r="85" spans="2:10" ht="25" outlineLevel="1">
      <c r="B85" s="49" t="s">
        <v>135</v>
      </c>
      <c r="C85" s="42">
        <v>92580</v>
      </c>
      <c r="D85" s="42" t="s">
        <v>41</v>
      </c>
      <c r="E85" s="43" t="s">
        <v>301</v>
      </c>
      <c r="F85" s="45" t="s">
        <v>316</v>
      </c>
      <c r="G85" s="83">
        <f>'MEMÓRIA DE CÁLCULO'!J302</f>
        <v>864</v>
      </c>
      <c r="H85" s="83">
        <v>53.57</v>
      </c>
      <c r="I85" s="66">
        <f t="shared" si="12"/>
        <v>68.150000000000006</v>
      </c>
      <c r="J85" s="66">
        <f t="shared" si="13"/>
        <v>58881.599999999999</v>
      </c>
    </row>
    <row r="86" spans="2:10" ht="37.5" outlineLevel="1">
      <c r="B86" s="49" t="s">
        <v>541</v>
      </c>
      <c r="C86" s="42">
        <v>100765</v>
      </c>
      <c r="D86" s="42" t="s">
        <v>41</v>
      </c>
      <c r="E86" s="43" t="s">
        <v>540</v>
      </c>
      <c r="F86" s="45" t="s">
        <v>309</v>
      </c>
      <c r="G86" s="83">
        <f>'MEMÓRIA DE CÁLCULO'!J306</f>
        <v>2384.64</v>
      </c>
      <c r="H86" s="83">
        <v>15.18</v>
      </c>
      <c r="I86" s="66">
        <f t="shared" si="12"/>
        <v>19.309999999999999</v>
      </c>
      <c r="J86" s="66">
        <f t="shared" si="13"/>
        <v>46047.4</v>
      </c>
    </row>
    <row r="87" spans="2:10" ht="37.5" outlineLevel="1">
      <c r="B87" s="49" t="s">
        <v>542</v>
      </c>
      <c r="C87" s="42">
        <v>100773</v>
      </c>
      <c r="D87" s="42" t="s">
        <v>41</v>
      </c>
      <c r="E87" s="43" t="s">
        <v>539</v>
      </c>
      <c r="F87" s="45" t="s">
        <v>309</v>
      </c>
      <c r="G87" s="83">
        <f>'MEMÓRIA DE CÁLCULO'!J312</f>
        <v>178.29000000000002</v>
      </c>
      <c r="H87" s="83">
        <v>20.81</v>
      </c>
      <c r="I87" s="66">
        <f t="shared" si="12"/>
        <v>26.47</v>
      </c>
      <c r="J87" s="66">
        <f t="shared" si="13"/>
        <v>4719.34</v>
      </c>
    </row>
    <row r="88" spans="2:10" ht="20.149999999999999" customHeight="1">
      <c r="B88" s="87"/>
      <c r="C88" s="87"/>
      <c r="D88" s="87"/>
      <c r="G88" s="88"/>
      <c r="H88" s="89"/>
      <c r="I88" s="89"/>
      <c r="J88" s="89"/>
    </row>
    <row r="89" spans="2:10" ht="20.149999999999999" customHeight="1">
      <c r="B89" s="12">
        <v>8</v>
      </c>
      <c r="C89" s="5"/>
      <c r="D89" s="5"/>
      <c r="E89" s="6" t="s">
        <v>143</v>
      </c>
      <c r="F89" s="6"/>
      <c r="G89" s="19"/>
      <c r="H89" s="37"/>
      <c r="I89" s="37"/>
      <c r="J89" s="31">
        <f>SUM(J90:J91)</f>
        <v>4914.92</v>
      </c>
    </row>
    <row r="90" spans="2:10" outlineLevel="1">
      <c r="B90" s="70" t="s">
        <v>20</v>
      </c>
      <c r="C90" s="47">
        <v>98557</v>
      </c>
      <c r="D90" s="47" t="s">
        <v>41</v>
      </c>
      <c r="E90" s="74" t="s">
        <v>327</v>
      </c>
      <c r="F90" s="95" t="s">
        <v>316</v>
      </c>
      <c r="G90" s="83">
        <f>'MEMÓRIA DE CÁLCULO'!J318</f>
        <v>66</v>
      </c>
      <c r="H90" s="83">
        <v>54.47</v>
      </c>
      <c r="I90" s="66">
        <f t="shared" ref="I90:I91" si="14">ROUND(H90*$J$6,2)+H90</f>
        <v>69.289999999999992</v>
      </c>
      <c r="J90" s="66">
        <f t="shared" ref="J90:J91" si="15">ROUND(G90*I90,2)</f>
        <v>4573.1400000000003</v>
      </c>
    </row>
    <row r="91" spans="2:10" ht="25" outlineLevel="1">
      <c r="B91" s="70" t="s">
        <v>136</v>
      </c>
      <c r="C91" s="44">
        <v>97087</v>
      </c>
      <c r="D91" s="42" t="s">
        <v>41</v>
      </c>
      <c r="E91" s="94" t="s">
        <v>326</v>
      </c>
      <c r="F91" s="44" t="s">
        <v>316</v>
      </c>
      <c r="G91" s="83">
        <f>'MEMÓRIA DE CÁLCULO'!J322</f>
        <v>116.65</v>
      </c>
      <c r="H91" s="83">
        <v>2.2999999999999998</v>
      </c>
      <c r="I91" s="66">
        <f t="shared" si="14"/>
        <v>2.9299999999999997</v>
      </c>
      <c r="J91" s="66">
        <f t="shared" si="15"/>
        <v>341.78</v>
      </c>
    </row>
    <row r="92" spans="2:10" ht="20.149999999999999" customHeight="1">
      <c r="B92" s="503"/>
      <c r="C92" s="2"/>
      <c r="D92" s="2"/>
      <c r="E92" s="2"/>
      <c r="F92" s="2"/>
      <c r="G92" s="2"/>
      <c r="H92" s="38"/>
      <c r="I92" s="38"/>
      <c r="J92" s="32"/>
    </row>
    <row r="93" spans="2:10" ht="20.149999999999999" customHeight="1">
      <c r="B93" s="12">
        <v>9</v>
      </c>
      <c r="C93" s="5"/>
      <c r="D93" s="5"/>
      <c r="E93" s="6" t="s">
        <v>230</v>
      </c>
      <c r="F93" s="6"/>
      <c r="G93" s="19"/>
      <c r="H93" s="37"/>
      <c r="I93" s="37"/>
      <c r="J93" s="31">
        <f>SUM(J94:J96)</f>
        <v>97994.83</v>
      </c>
    </row>
    <row r="94" spans="2:10" ht="37.5" outlineLevel="1">
      <c r="B94" s="49" t="s">
        <v>21</v>
      </c>
      <c r="C94" s="96">
        <v>87907</v>
      </c>
      <c r="D94" s="51" t="s">
        <v>41</v>
      </c>
      <c r="E94" s="97" t="s">
        <v>328</v>
      </c>
      <c r="F94" s="98" t="s">
        <v>316</v>
      </c>
      <c r="G94" s="83">
        <f>'MEMÓRIA DE CÁLCULO'!J334</f>
        <v>975.96</v>
      </c>
      <c r="H94" s="83">
        <v>7.16</v>
      </c>
      <c r="I94" s="66">
        <f t="shared" ref="I94:I96" si="16">ROUND(H94*$J$6,2)+H94</f>
        <v>9.11</v>
      </c>
      <c r="J94" s="66">
        <f t="shared" ref="J94:J96" si="17">ROUND(G94*I94,2)</f>
        <v>8891</v>
      </c>
    </row>
    <row r="95" spans="2:10" ht="37.5" outlineLevel="1">
      <c r="B95" s="49" t="s">
        <v>22</v>
      </c>
      <c r="C95" s="49">
        <v>87530</v>
      </c>
      <c r="D95" s="51" t="s">
        <v>41</v>
      </c>
      <c r="E95" s="82" t="s">
        <v>329</v>
      </c>
      <c r="F95" s="45" t="s">
        <v>316</v>
      </c>
      <c r="G95" s="83">
        <f>'MEMÓRIA DE CÁLCULO'!J344</f>
        <v>975.96</v>
      </c>
      <c r="H95" s="83">
        <v>43.9</v>
      </c>
      <c r="I95" s="66">
        <f t="shared" si="16"/>
        <v>55.849999999999994</v>
      </c>
      <c r="J95" s="66">
        <f t="shared" si="17"/>
        <v>54507.37</v>
      </c>
    </row>
    <row r="96" spans="2:10" ht="25" outlineLevel="1">
      <c r="B96" s="49" t="s">
        <v>23</v>
      </c>
      <c r="C96" s="49">
        <v>87273</v>
      </c>
      <c r="D96" s="51" t="s">
        <v>41</v>
      </c>
      <c r="E96" s="82" t="s">
        <v>330</v>
      </c>
      <c r="F96" s="45" t="s">
        <v>316</v>
      </c>
      <c r="G96" s="83">
        <f>'MEMÓRIA DE CÁLCULO'!J351</f>
        <v>329.93</v>
      </c>
      <c r="H96" s="83">
        <v>82.43</v>
      </c>
      <c r="I96" s="66">
        <f t="shared" si="16"/>
        <v>104.86000000000001</v>
      </c>
      <c r="J96" s="66">
        <f t="shared" si="17"/>
        <v>34596.46</v>
      </c>
    </row>
    <row r="97" spans="2:10" ht="20.149999999999999" customHeight="1">
      <c r="B97" s="2"/>
      <c r="C97" s="2"/>
      <c r="D97" s="2"/>
      <c r="E97" s="2"/>
      <c r="F97" s="2"/>
      <c r="G97" s="2"/>
      <c r="H97" s="38"/>
      <c r="I97" s="38"/>
      <c r="J97" s="32"/>
    </row>
    <row r="98" spans="2:10" ht="20.149999999999999" customHeight="1">
      <c r="B98" s="12">
        <v>10</v>
      </c>
      <c r="C98" s="5"/>
      <c r="D98" s="5"/>
      <c r="E98" s="6" t="s">
        <v>231</v>
      </c>
      <c r="F98" s="6"/>
      <c r="G98" s="19"/>
      <c r="H98" s="37"/>
      <c r="I98" s="37"/>
      <c r="J98" s="31">
        <f>SUM(J99:J107)</f>
        <v>45291.39</v>
      </c>
    </row>
    <row r="99" spans="2:10" ht="20.149999999999999" customHeight="1" outlineLevel="1">
      <c r="B99" s="1" t="s">
        <v>24</v>
      </c>
      <c r="C99" s="99"/>
      <c r="D99" s="100"/>
      <c r="E99" s="3" t="s">
        <v>240</v>
      </c>
      <c r="F99" s="45"/>
      <c r="G99" s="83"/>
      <c r="H99" s="83"/>
      <c r="I99" s="66"/>
      <c r="J99" s="66"/>
    </row>
    <row r="100" spans="2:10" ht="25" outlineLevel="1">
      <c r="B100" s="49" t="s">
        <v>137</v>
      </c>
      <c r="C100" s="44">
        <v>97088</v>
      </c>
      <c r="D100" s="42" t="s">
        <v>41</v>
      </c>
      <c r="E100" s="43" t="s">
        <v>310</v>
      </c>
      <c r="F100" s="44" t="s">
        <v>309</v>
      </c>
      <c r="G100" s="83">
        <f>'MEMÓRIA DE CÁLCULO'!J358</f>
        <v>104.53</v>
      </c>
      <c r="H100" s="83">
        <v>17.38</v>
      </c>
      <c r="I100" s="66">
        <f t="shared" ref="I100:I107" si="18">ROUND(H100*$J$6,2)+H100</f>
        <v>22.11</v>
      </c>
      <c r="J100" s="66">
        <f t="shared" ref="J100:J107" si="19">ROUND(G100*I100,2)</f>
        <v>2311.16</v>
      </c>
    </row>
    <row r="101" spans="2:10" ht="25" outlineLevel="1">
      <c r="B101" s="49" t="s">
        <v>138</v>
      </c>
      <c r="C101" s="46">
        <v>103675</v>
      </c>
      <c r="D101" s="47" t="s">
        <v>41</v>
      </c>
      <c r="E101" s="74" t="s">
        <v>307</v>
      </c>
      <c r="F101" s="44" t="s">
        <v>319</v>
      </c>
      <c r="G101" s="83">
        <f>'MEMÓRIA DE CÁLCULO'!J362</f>
        <v>5.65</v>
      </c>
      <c r="H101" s="83">
        <v>616.08000000000004</v>
      </c>
      <c r="I101" s="66">
        <f t="shared" si="18"/>
        <v>783.72</v>
      </c>
      <c r="J101" s="66">
        <f t="shared" si="19"/>
        <v>4428.0200000000004</v>
      </c>
    </row>
    <row r="102" spans="2:10" ht="37.5" outlineLevel="1">
      <c r="B102" s="49" t="s">
        <v>139</v>
      </c>
      <c r="C102" s="100">
        <v>87630</v>
      </c>
      <c r="D102" s="44" t="s">
        <v>41</v>
      </c>
      <c r="E102" s="101" t="s">
        <v>331</v>
      </c>
      <c r="F102" s="98" t="s">
        <v>316</v>
      </c>
      <c r="G102" s="83">
        <f>'MEMÓRIA DE CÁLCULO'!J366</f>
        <v>70.63</v>
      </c>
      <c r="H102" s="83">
        <v>39.020000000000003</v>
      </c>
      <c r="I102" s="66">
        <f t="shared" si="18"/>
        <v>49.64</v>
      </c>
      <c r="J102" s="66">
        <f t="shared" si="19"/>
        <v>3506.07</v>
      </c>
    </row>
    <row r="103" spans="2:10" ht="25" outlineLevel="1">
      <c r="B103" s="49" t="s">
        <v>140</v>
      </c>
      <c r="C103" s="102">
        <v>87256</v>
      </c>
      <c r="D103" s="48" t="s">
        <v>41</v>
      </c>
      <c r="E103" s="74" t="s">
        <v>334</v>
      </c>
      <c r="F103" s="45" t="s">
        <v>316</v>
      </c>
      <c r="G103" s="83">
        <f>'MEMÓRIA DE CÁLCULO'!J371</f>
        <v>55.2</v>
      </c>
      <c r="H103" s="83">
        <v>99.12</v>
      </c>
      <c r="I103" s="66">
        <f t="shared" si="18"/>
        <v>126.09</v>
      </c>
      <c r="J103" s="66">
        <f t="shared" si="19"/>
        <v>6960.17</v>
      </c>
    </row>
    <row r="104" spans="2:10" ht="20.149999999999999" customHeight="1" outlineLevel="1">
      <c r="B104" s="49" t="s">
        <v>332</v>
      </c>
      <c r="C104" s="42">
        <v>98689</v>
      </c>
      <c r="D104" s="48" t="s">
        <v>41</v>
      </c>
      <c r="E104" s="43" t="s">
        <v>335</v>
      </c>
      <c r="F104" s="45" t="s">
        <v>318</v>
      </c>
      <c r="G104" s="83">
        <f>'MEMÓRIA DE CÁLCULO'!J375</f>
        <v>2.82</v>
      </c>
      <c r="H104" s="83">
        <v>119.25</v>
      </c>
      <c r="I104" s="66">
        <f t="shared" si="18"/>
        <v>151.69999999999999</v>
      </c>
      <c r="J104" s="66">
        <f t="shared" si="19"/>
        <v>427.79</v>
      </c>
    </row>
    <row r="105" spans="2:10" ht="20.149999999999999" customHeight="1" outlineLevel="1">
      <c r="B105" s="1" t="s">
        <v>36</v>
      </c>
      <c r="C105" s="99"/>
      <c r="D105" s="100"/>
      <c r="E105" s="3" t="s">
        <v>51</v>
      </c>
      <c r="F105" s="85"/>
      <c r="G105" s="83"/>
      <c r="H105" s="83"/>
      <c r="I105" s="66"/>
      <c r="J105" s="66"/>
    </row>
    <row r="106" spans="2:10" ht="25" outlineLevel="1">
      <c r="B106" s="49" t="s">
        <v>141</v>
      </c>
      <c r="C106" s="103">
        <v>94990</v>
      </c>
      <c r="D106" s="51" t="s">
        <v>41</v>
      </c>
      <c r="E106" s="43" t="s">
        <v>336</v>
      </c>
      <c r="F106" s="85" t="s">
        <v>319</v>
      </c>
      <c r="G106" s="83">
        <f>'MEMÓRIA DE CÁLCULO'!J380</f>
        <v>4.68</v>
      </c>
      <c r="H106" s="83">
        <v>749.45</v>
      </c>
      <c r="I106" s="66">
        <f t="shared" si="18"/>
        <v>953.38000000000011</v>
      </c>
      <c r="J106" s="66">
        <f t="shared" si="19"/>
        <v>4461.82</v>
      </c>
    </row>
    <row r="107" spans="2:10" ht="37.5" outlineLevel="1">
      <c r="B107" s="49" t="s">
        <v>142</v>
      </c>
      <c r="C107" s="47">
        <v>105001</v>
      </c>
      <c r="D107" s="47" t="s">
        <v>41</v>
      </c>
      <c r="E107" s="82" t="s">
        <v>337</v>
      </c>
      <c r="F107" s="47" t="s">
        <v>318</v>
      </c>
      <c r="G107" s="83">
        <f>'MEMÓRIA DE CÁLCULO'!J386</f>
        <v>12</v>
      </c>
      <c r="H107" s="83">
        <v>1519.56</v>
      </c>
      <c r="I107" s="66">
        <f t="shared" si="18"/>
        <v>1933.03</v>
      </c>
      <c r="J107" s="66">
        <f t="shared" si="19"/>
        <v>23196.36</v>
      </c>
    </row>
    <row r="108" spans="2:10" ht="20.149999999999999" customHeight="1">
      <c r="B108" s="2"/>
      <c r="C108" s="2"/>
      <c r="D108" s="2"/>
      <c r="E108" s="2"/>
      <c r="F108" s="2"/>
      <c r="G108" s="2"/>
      <c r="H108" s="38"/>
      <c r="I108" s="38"/>
      <c r="J108" s="32"/>
    </row>
    <row r="109" spans="2:10" ht="20.149999999999999" customHeight="1">
      <c r="B109" s="12">
        <v>11</v>
      </c>
      <c r="C109" s="5"/>
      <c r="D109" s="5"/>
      <c r="E109" s="6" t="s">
        <v>232</v>
      </c>
      <c r="F109" s="6"/>
      <c r="G109" s="19"/>
      <c r="H109" s="37"/>
      <c r="I109" s="37"/>
      <c r="J109" s="31">
        <f>SUM(J110:J119)</f>
        <v>89118.14</v>
      </c>
    </row>
    <row r="110" spans="2:10" ht="25" outlineLevel="1">
      <c r="B110" s="49" t="s">
        <v>25</v>
      </c>
      <c r="C110" s="42">
        <v>88494</v>
      </c>
      <c r="D110" s="51" t="s">
        <v>41</v>
      </c>
      <c r="E110" s="43" t="s">
        <v>342</v>
      </c>
      <c r="F110" s="45" t="s">
        <v>316</v>
      </c>
      <c r="G110" s="83">
        <f>'MEMÓRIA DE CÁLCULO'!J393</f>
        <v>55.2</v>
      </c>
      <c r="H110" s="83">
        <v>24.53</v>
      </c>
      <c r="I110" s="66">
        <f t="shared" ref="I110:I119" si="20">ROUND(H110*$J$6,2)+H110</f>
        <v>31.200000000000003</v>
      </c>
      <c r="J110" s="66">
        <f t="shared" ref="J110:J119" si="21">ROUND(G110*I110,2)</f>
        <v>1722.24</v>
      </c>
    </row>
    <row r="111" spans="2:10" ht="25" outlineLevel="1">
      <c r="B111" s="49" t="s">
        <v>26</v>
      </c>
      <c r="C111" s="42">
        <v>88495</v>
      </c>
      <c r="D111" s="51" t="s">
        <v>41</v>
      </c>
      <c r="E111" s="43" t="s">
        <v>343</v>
      </c>
      <c r="F111" s="45"/>
      <c r="G111" s="83">
        <f>'MEMÓRIA DE CÁLCULO'!J397</f>
        <v>90.44</v>
      </c>
      <c r="H111" s="83">
        <v>13.6</v>
      </c>
      <c r="I111" s="66">
        <f t="shared" si="20"/>
        <v>17.3</v>
      </c>
      <c r="J111" s="66">
        <f t="shared" si="21"/>
        <v>1564.61</v>
      </c>
    </row>
    <row r="112" spans="2:10" outlineLevel="1">
      <c r="B112" s="49" t="s">
        <v>27</v>
      </c>
      <c r="C112" s="42">
        <v>88484</v>
      </c>
      <c r="D112" s="51" t="s">
        <v>41</v>
      </c>
      <c r="E112" s="43" t="s">
        <v>339</v>
      </c>
      <c r="F112" s="45" t="s">
        <v>316</v>
      </c>
      <c r="G112" s="83">
        <f>'MEMÓRIA DE CÁLCULO'!J402</f>
        <v>55.2</v>
      </c>
      <c r="H112" s="83">
        <v>5.96</v>
      </c>
      <c r="I112" s="66">
        <f t="shared" si="20"/>
        <v>7.58</v>
      </c>
      <c r="J112" s="66">
        <f t="shared" si="21"/>
        <v>418.42</v>
      </c>
    </row>
    <row r="113" spans="1:12" outlineLevel="1">
      <c r="B113" s="49" t="s">
        <v>66</v>
      </c>
      <c r="C113" s="42">
        <v>88485</v>
      </c>
      <c r="D113" s="51" t="s">
        <v>41</v>
      </c>
      <c r="E113" s="43" t="s">
        <v>340</v>
      </c>
      <c r="F113" s="45" t="s">
        <v>316</v>
      </c>
      <c r="G113" s="83">
        <f>'MEMÓRIA DE CÁLCULO'!J412</f>
        <v>975.96</v>
      </c>
      <c r="H113" s="83">
        <v>4.8499999999999996</v>
      </c>
      <c r="I113" s="66">
        <f t="shared" si="20"/>
        <v>6.17</v>
      </c>
      <c r="J113" s="66">
        <f t="shared" si="21"/>
        <v>6021.67</v>
      </c>
    </row>
    <row r="114" spans="1:12" outlineLevel="1">
      <c r="B114" s="49" t="s">
        <v>39</v>
      </c>
      <c r="C114" s="42">
        <v>88488</v>
      </c>
      <c r="D114" s="51" t="s">
        <v>41</v>
      </c>
      <c r="E114" s="43" t="s">
        <v>341</v>
      </c>
      <c r="F114" s="45" t="s">
        <v>316</v>
      </c>
      <c r="G114" s="83">
        <f>'MEMÓRIA DE CÁLCULO'!J417</f>
        <v>55.2</v>
      </c>
      <c r="H114" s="83">
        <v>16.309999999999999</v>
      </c>
      <c r="I114" s="66">
        <f t="shared" si="20"/>
        <v>20.75</v>
      </c>
      <c r="J114" s="66">
        <f t="shared" si="21"/>
        <v>1145.4000000000001</v>
      </c>
    </row>
    <row r="115" spans="1:12" ht="25" outlineLevel="1">
      <c r="B115" s="49" t="s">
        <v>100</v>
      </c>
      <c r="C115" s="42">
        <v>88489</v>
      </c>
      <c r="D115" s="51" t="s">
        <v>41</v>
      </c>
      <c r="E115" s="43" t="s">
        <v>338</v>
      </c>
      <c r="F115" s="45" t="s">
        <v>316</v>
      </c>
      <c r="G115" s="83">
        <f>'MEMÓRIA DE CÁLCULO'!J427</f>
        <v>975.96</v>
      </c>
      <c r="H115" s="83">
        <v>13.62</v>
      </c>
      <c r="I115" s="66">
        <f t="shared" si="20"/>
        <v>17.329999999999998</v>
      </c>
      <c r="J115" s="66">
        <f t="shared" si="21"/>
        <v>16913.39</v>
      </c>
    </row>
    <row r="116" spans="1:12" ht="25" outlineLevel="1">
      <c r="B116" s="49" t="s">
        <v>101</v>
      </c>
      <c r="C116" s="42">
        <v>102494</v>
      </c>
      <c r="D116" s="51" t="s">
        <v>41</v>
      </c>
      <c r="E116" s="43" t="s">
        <v>344</v>
      </c>
      <c r="F116" s="45" t="s">
        <v>316</v>
      </c>
      <c r="G116" s="83">
        <f>'MEMÓRIA DE CÁLCULO'!J431</f>
        <v>452.24</v>
      </c>
      <c r="H116" s="83">
        <v>76.08</v>
      </c>
      <c r="I116" s="66">
        <f t="shared" si="20"/>
        <v>96.78</v>
      </c>
      <c r="J116" s="66">
        <f t="shared" si="21"/>
        <v>43767.79</v>
      </c>
    </row>
    <row r="117" spans="1:12" ht="25" outlineLevel="1">
      <c r="B117" s="49" t="s">
        <v>243</v>
      </c>
      <c r="C117" s="42">
        <v>102506</v>
      </c>
      <c r="D117" s="51" t="s">
        <v>41</v>
      </c>
      <c r="E117" s="119" t="s">
        <v>345</v>
      </c>
      <c r="F117" s="45" t="s">
        <v>318</v>
      </c>
      <c r="G117" s="83">
        <v>275.60000000000002</v>
      </c>
      <c r="H117" s="83">
        <v>12.65</v>
      </c>
      <c r="I117" s="66">
        <f t="shared" si="20"/>
        <v>16.09</v>
      </c>
      <c r="J117" s="66">
        <f t="shared" si="21"/>
        <v>4434.3999999999996</v>
      </c>
      <c r="K117" s="93"/>
    </row>
    <row r="118" spans="1:12" ht="25" outlineLevel="1">
      <c r="B118" s="49" t="s">
        <v>348</v>
      </c>
      <c r="C118" s="47">
        <v>100729</v>
      </c>
      <c r="D118" s="48" t="s">
        <v>41</v>
      </c>
      <c r="E118" s="104" t="s">
        <v>346</v>
      </c>
      <c r="F118" s="45" t="s">
        <v>316</v>
      </c>
      <c r="G118" s="83">
        <v>366.82</v>
      </c>
      <c r="H118" s="83">
        <v>24.2</v>
      </c>
      <c r="I118" s="66">
        <f t="shared" si="20"/>
        <v>30.78</v>
      </c>
      <c r="J118" s="66">
        <f t="shared" si="21"/>
        <v>11290.72</v>
      </c>
    </row>
    <row r="119" spans="1:12" ht="37.5" outlineLevel="1">
      <c r="B119" s="49" t="s">
        <v>349</v>
      </c>
      <c r="C119" s="47">
        <v>100741</v>
      </c>
      <c r="D119" s="48" t="s">
        <v>41</v>
      </c>
      <c r="E119" s="104" t="s">
        <v>347</v>
      </c>
      <c r="F119" s="45" t="s">
        <v>316</v>
      </c>
      <c r="G119" s="83">
        <f>'MEMÓRIA DE CÁLCULO'!J443</f>
        <v>50</v>
      </c>
      <c r="H119" s="83">
        <v>28.92</v>
      </c>
      <c r="I119" s="66">
        <f t="shared" si="20"/>
        <v>36.79</v>
      </c>
      <c r="J119" s="66">
        <f t="shared" si="21"/>
        <v>1839.5</v>
      </c>
    </row>
    <row r="120" spans="1:12" ht="20.149999999999999" customHeight="1">
      <c r="B120" s="2"/>
      <c r="C120" s="2"/>
      <c r="D120" s="2"/>
      <c r="E120" s="2"/>
      <c r="F120" s="2"/>
      <c r="G120" s="2"/>
      <c r="H120" s="38"/>
      <c r="I120" s="38"/>
      <c r="J120" s="32"/>
    </row>
    <row r="121" spans="1:12" ht="20.149999999999999" customHeight="1">
      <c r="B121" s="12">
        <v>12</v>
      </c>
      <c r="C121" s="5"/>
      <c r="D121" s="5"/>
      <c r="E121" s="6" t="s">
        <v>233</v>
      </c>
      <c r="F121" s="6"/>
      <c r="G121" s="19"/>
      <c r="H121" s="37"/>
      <c r="I121" s="37"/>
      <c r="J121" s="31">
        <f>SUM(J122:J158)</f>
        <v>7651.7200000000012</v>
      </c>
    </row>
    <row r="122" spans="1:12" s="69" customFormat="1" ht="20.149999999999999" customHeight="1" outlineLevel="1">
      <c r="A122" s="55"/>
      <c r="B122" s="67" t="s">
        <v>28</v>
      </c>
      <c r="C122" s="67"/>
      <c r="D122" s="67"/>
      <c r="E122" s="105" t="s">
        <v>278</v>
      </c>
      <c r="F122" s="68"/>
      <c r="G122" s="61"/>
      <c r="H122" s="61"/>
      <c r="I122" s="62"/>
      <c r="J122" s="62"/>
      <c r="K122" s="53"/>
      <c r="L122" s="58"/>
    </row>
    <row r="123" spans="1:12" ht="20.149999999999999" customHeight="1" outlineLevel="1">
      <c r="B123" s="49" t="s">
        <v>144</v>
      </c>
      <c r="C123" s="51">
        <v>89401</v>
      </c>
      <c r="D123" s="44" t="s">
        <v>41</v>
      </c>
      <c r="E123" s="82" t="s">
        <v>364</v>
      </c>
      <c r="F123" s="51" t="s">
        <v>318</v>
      </c>
      <c r="G123" s="83">
        <v>12</v>
      </c>
      <c r="H123" s="83">
        <v>12.09</v>
      </c>
      <c r="I123" s="66">
        <f t="shared" ref="I123:I158" si="22">ROUND(H123*$J$6,2)+H123</f>
        <v>15.379999999999999</v>
      </c>
      <c r="J123" s="66">
        <f t="shared" ref="J123:J158" si="23">ROUND(G123*I123,2)</f>
        <v>184.56</v>
      </c>
    </row>
    <row r="124" spans="1:12" ht="20.149999999999999" customHeight="1" outlineLevel="1">
      <c r="B124" s="49" t="s">
        <v>145</v>
      </c>
      <c r="C124" s="51">
        <v>89446</v>
      </c>
      <c r="D124" s="51" t="s">
        <v>41</v>
      </c>
      <c r="E124" s="82" t="s">
        <v>365</v>
      </c>
      <c r="F124" s="51" t="s">
        <v>318</v>
      </c>
      <c r="G124" s="83">
        <v>42</v>
      </c>
      <c r="H124" s="83">
        <v>5.69</v>
      </c>
      <c r="I124" s="66">
        <f t="shared" si="22"/>
        <v>7.24</v>
      </c>
      <c r="J124" s="66">
        <f t="shared" si="23"/>
        <v>304.08</v>
      </c>
    </row>
    <row r="125" spans="1:12" ht="20.149999999999999" customHeight="1" outlineLevel="1">
      <c r="B125" s="49" t="s">
        <v>245</v>
      </c>
      <c r="C125" s="44">
        <v>89447</v>
      </c>
      <c r="D125" s="51" t="s">
        <v>41</v>
      </c>
      <c r="E125" s="82" t="s">
        <v>366</v>
      </c>
      <c r="F125" s="51" t="s">
        <v>318</v>
      </c>
      <c r="G125" s="83">
        <v>28</v>
      </c>
      <c r="H125" s="83">
        <v>11.18</v>
      </c>
      <c r="I125" s="66">
        <f t="shared" si="22"/>
        <v>14.219999999999999</v>
      </c>
      <c r="J125" s="66">
        <f t="shared" si="23"/>
        <v>398.16</v>
      </c>
    </row>
    <row r="126" spans="1:12" ht="20.149999999999999" customHeight="1" outlineLevel="1">
      <c r="B126" s="49" t="s">
        <v>246</v>
      </c>
      <c r="C126" s="51">
        <v>89448</v>
      </c>
      <c r="D126" s="51" t="s">
        <v>41</v>
      </c>
      <c r="E126" s="82" t="s">
        <v>367</v>
      </c>
      <c r="F126" s="51" t="s">
        <v>318</v>
      </c>
      <c r="G126" s="83">
        <v>30</v>
      </c>
      <c r="H126" s="83">
        <v>17.04</v>
      </c>
      <c r="I126" s="66">
        <f t="shared" si="22"/>
        <v>21.68</v>
      </c>
      <c r="J126" s="66">
        <f t="shared" si="23"/>
        <v>650.4</v>
      </c>
    </row>
    <row r="127" spans="1:12" ht="20.149999999999999" customHeight="1" outlineLevel="1">
      <c r="B127" s="49" t="s">
        <v>247</v>
      </c>
      <c r="C127" s="51">
        <v>89449</v>
      </c>
      <c r="D127" s="51" t="s">
        <v>41</v>
      </c>
      <c r="E127" s="82" t="s">
        <v>368</v>
      </c>
      <c r="F127" s="51" t="s">
        <v>318</v>
      </c>
      <c r="G127" s="83">
        <v>36</v>
      </c>
      <c r="H127" s="83">
        <v>18.88</v>
      </c>
      <c r="I127" s="66">
        <f t="shared" si="22"/>
        <v>24.02</v>
      </c>
      <c r="J127" s="66">
        <f t="shared" si="23"/>
        <v>864.72</v>
      </c>
    </row>
    <row r="128" spans="1:12" ht="20.149999999999999" customHeight="1" outlineLevel="1">
      <c r="B128" s="49" t="s">
        <v>248</v>
      </c>
      <c r="C128" s="51">
        <v>89408</v>
      </c>
      <c r="D128" s="51" t="s">
        <v>41</v>
      </c>
      <c r="E128" s="82" t="s">
        <v>369</v>
      </c>
      <c r="F128" s="44" t="s">
        <v>317</v>
      </c>
      <c r="G128" s="83">
        <v>15</v>
      </c>
      <c r="H128" s="83">
        <v>9.81</v>
      </c>
      <c r="I128" s="66">
        <f t="shared" si="22"/>
        <v>12.48</v>
      </c>
      <c r="J128" s="66">
        <f t="shared" si="23"/>
        <v>187.2</v>
      </c>
    </row>
    <row r="129" spans="1:12" ht="20.149999999999999" customHeight="1" outlineLevel="1">
      <c r="B129" s="49" t="s">
        <v>249</v>
      </c>
      <c r="C129" s="51">
        <v>89492</v>
      </c>
      <c r="D129" s="51" t="s">
        <v>41</v>
      </c>
      <c r="E129" s="82" t="s">
        <v>370</v>
      </c>
      <c r="F129" s="44" t="s">
        <v>317</v>
      </c>
      <c r="G129" s="83">
        <v>8</v>
      </c>
      <c r="H129" s="83">
        <v>8.9700000000000006</v>
      </c>
      <c r="I129" s="66">
        <f t="shared" si="22"/>
        <v>11.41</v>
      </c>
      <c r="J129" s="66">
        <f t="shared" si="23"/>
        <v>91.28</v>
      </c>
    </row>
    <row r="130" spans="1:12" ht="20.149999999999999" customHeight="1" outlineLevel="1">
      <c r="B130" s="49" t="s">
        <v>250</v>
      </c>
      <c r="C130" s="51">
        <v>89501</v>
      </c>
      <c r="D130" s="51" t="s">
        <v>41</v>
      </c>
      <c r="E130" s="82" t="s">
        <v>371</v>
      </c>
      <c r="F130" s="44" t="s">
        <v>317</v>
      </c>
      <c r="G130" s="83">
        <v>6</v>
      </c>
      <c r="H130" s="83">
        <v>15.31</v>
      </c>
      <c r="I130" s="66">
        <f t="shared" si="22"/>
        <v>19.48</v>
      </c>
      <c r="J130" s="66">
        <f t="shared" si="23"/>
        <v>116.88</v>
      </c>
    </row>
    <row r="131" spans="1:12" ht="20.149999999999999" customHeight="1" outlineLevel="1">
      <c r="B131" s="49" t="s">
        <v>251</v>
      </c>
      <c r="C131" s="44">
        <v>90373</v>
      </c>
      <c r="D131" s="44" t="s">
        <v>41</v>
      </c>
      <c r="E131" s="82" t="s">
        <v>372</v>
      </c>
      <c r="F131" s="44" t="s">
        <v>317</v>
      </c>
      <c r="G131" s="83">
        <v>2</v>
      </c>
      <c r="H131" s="83">
        <v>14.2</v>
      </c>
      <c r="I131" s="66">
        <f t="shared" si="22"/>
        <v>18.059999999999999</v>
      </c>
      <c r="J131" s="66">
        <f t="shared" si="23"/>
        <v>36.119999999999997</v>
      </c>
    </row>
    <row r="132" spans="1:12" ht="25" outlineLevel="1">
      <c r="B132" s="49" t="s">
        <v>252</v>
      </c>
      <c r="C132" s="51">
        <v>90373</v>
      </c>
      <c r="D132" s="44" t="s">
        <v>41</v>
      </c>
      <c r="E132" s="82" t="s">
        <v>373</v>
      </c>
      <c r="F132" s="44" t="s">
        <v>317</v>
      </c>
      <c r="G132" s="83">
        <v>16</v>
      </c>
      <c r="H132" s="83">
        <v>14.2</v>
      </c>
      <c r="I132" s="66">
        <f t="shared" si="22"/>
        <v>18.059999999999999</v>
      </c>
      <c r="J132" s="66">
        <f t="shared" si="23"/>
        <v>288.95999999999998</v>
      </c>
    </row>
    <row r="133" spans="1:12" ht="20.149999999999999" customHeight="1" outlineLevel="1">
      <c r="B133" s="49" t="s">
        <v>253</v>
      </c>
      <c r="C133" s="51">
        <v>89622</v>
      </c>
      <c r="D133" s="44" t="s">
        <v>41</v>
      </c>
      <c r="E133" s="82" t="s">
        <v>374</v>
      </c>
      <c r="F133" s="44" t="s">
        <v>317</v>
      </c>
      <c r="G133" s="83">
        <v>4</v>
      </c>
      <c r="H133" s="83">
        <v>14.94</v>
      </c>
      <c r="I133" s="66">
        <f t="shared" si="22"/>
        <v>19.009999999999998</v>
      </c>
      <c r="J133" s="66">
        <f t="shared" si="23"/>
        <v>76.040000000000006</v>
      </c>
    </row>
    <row r="134" spans="1:12" ht="20.149999999999999" customHeight="1" outlineLevel="1">
      <c r="B134" s="49" t="s">
        <v>254</v>
      </c>
      <c r="C134" s="51">
        <v>89626</v>
      </c>
      <c r="D134" s="44" t="s">
        <v>41</v>
      </c>
      <c r="E134" s="82" t="s">
        <v>375</v>
      </c>
      <c r="F134" s="44" t="s">
        <v>317</v>
      </c>
      <c r="G134" s="83">
        <v>2</v>
      </c>
      <c r="H134" s="83">
        <v>31.26</v>
      </c>
      <c r="I134" s="66">
        <f t="shared" si="22"/>
        <v>39.770000000000003</v>
      </c>
      <c r="J134" s="66">
        <f t="shared" si="23"/>
        <v>79.540000000000006</v>
      </c>
    </row>
    <row r="135" spans="1:12" ht="20.149999999999999" customHeight="1" outlineLevel="1">
      <c r="B135" s="49" t="s">
        <v>255</v>
      </c>
      <c r="C135" s="44">
        <v>89736</v>
      </c>
      <c r="D135" s="44" t="s">
        <v>41</v>
      </c>
      <c r="E135" s="82" t="s">
        <v>376</v>
      </c>
      <c r="F135" s="44" t="s">
        <v>317</v>
      </c>
      <c r="G135" s="83">
        <v>8</v>
      </c>
      <c r="H135" s="83">
        <v>9.75</v>
      </c>
      <c r="I135" s="66">
        <f t="shared" si="22"/>
        <v>12.4</v>
      </c>
      <c r="J135" s="66">
        <f t="shared" si="23"/>
        <v>99.2</v>
      </c>
    </row>
    <row r="136" spans="1:12" ht="20.149999999999999" customHeight="1" outlineLevel="1">
      <c r="B136" s="49" t="s">
        <v>256</v>
      </c>
      <c r="C136" s="44">
        <v>89386</v>
      </c>
      <c r="D136" s="44" t="s">
        <v>41</v>
      </c>
      <c r="E136" s="82" t="s">
        <v>377</v>
      </c>
      <c r="F136" s="44" t="s">
        <v>317</v>
      </c>
      <c r="G136" s="83">
        <v>4</v>
      </c>
      <c r="H136" s="83">
        <v>10.62</v>
      </c>
      <c r="I136" s="66">
        <f t="shared" si="22"/>
        <v>13.51</v>
      </c>
      <c r="J136" s="66">
        <f t="shared" si="23"/>
        <v>54.04</v>
      </c>
    </row>
    <row r="137" spans="1:12" ht="20.149999999999999" customHeight="1" outlineLevel="1">
      <c r="B137" s="49" t="s">
        <v>257</v>
      </c>
      <c r="C137" s="44">
        <v>89433</v>
      </c>
      <c r="D137" s="44" t="s">
        <v>41</v>
      </c>
      <c r="E137" s="82" t="s">
        <v>378</v>
      </c>
      <c r="F137" s="44" t="s">
        <v>317</v>
      </c>
      <c r="G137" s="83">
        <v>4</v>
      </c>
      <c r="H137" s="83">
        <v>14.08</v>
      </c>
      <c r="I137" s="66">
        <f t="shared" si="22"/>
        <v>17.91</v>
      </c>
      <c r="J137" s="66">
        <f t="shared" si="23"/>
        <v>71.64</v>
      </c>
    </row>
    <row r="138" spans="1:12" ht="20.149999999999999" customHeight="1" outlineLevel="1">
      <c r="B138" s="49" t="s">
        <v>258</v>
      </c>
      <c r="C138" s="44">
        <v>89605</v>
      </c>
      <c r="D138" s="44" t="s">
        <v>41</v>
      </c>
      <c r="E138" s="82" t="s">
        <v>379</v>
      </c>
      <c r="F138" s="44" t="s">
        <v>317</v>
      </c>
      <c r="G138" s="83">
        <v>2</v>
      </c>
      <c r="H138" s="83">
        <v>21.25</v>
      </c>
      <c r="I138" s="66">
        <f t="shared" si="22"/>
        <v>27.03</v>
      </c>
      <c r="J138" s="66">
        <f t="shared" si="23"/>
        <v>54.06</v>
      </c>
    </row>
    <row r="139" spans="1:12" ht="20.149999999999999" customHeight="1" outlineLevel="1">
      <c r="B139" s="49" t="s">
        <v>259</v>
      </c>
      <c r="C139" s="44">
        <v>93065</v>
      </c>
      <c r="D139" s="44" t="s">
        <v>41</v>
      </c>
      <c r="E139" s="82" t="s">
        <v>380</v>
      </c>
      <c r="F139" s="44" t="s">
        <v>317</v>
      </c>
      <c r="G139" s="83">
        <v>2</v>
      </c>
      <c r="H139" s="83">
        <v>43.03</v>
      </c>
      <c r="I139" s="66">
        <f t="shared" si="22"/>
        <v>54.74</v>
      </c>
      <c r="J139" s="66">
        <f t="shared" si="23"/>
        <v>109.48</v>
      </c>
    </row>
    <row r="140" spans="1:12" ht="20.149999999999999" customHeight="1" outlineLevel="1">
      <c r="B140" s="49" t="s">
        <v>260</v>
      </c>
      <c r="C140" s="44">
        <v>93065</v>
      </c>
      <c r="D140" s="44" t="s">
        <v>41</v>
      </c>
      <c r="E140" s="82" t="s">
        <v>381</v>
      </c>
      <c r="F140" s="44" t="s">
        <v>317</v>
      </c>
      <c r="G140" s="83">
        <v>4</v>
      </c>
      <c r="H140" s="83">
        <v>43.03</v>
      </c>
      <c r="I140" s="66">
        <f t="shared" si="22"/>
        <v>54.74</v>
      </c>
      <c r="J140" s="66">
        <f t="shared" si="23"/>
        <v>218.96</v>
      </c>
    </row>
    <row r="141" spans="1:12" ht="20.149999999999999" customHeight="1" outlineLevel="1">
      <c r="B141" s="49" t="s">
        <v>261</v>
      </c>
      <c r="C141" s="51">
        <v>89375</v>
      </c>
      <c r="D141" s="44" t="s">
        <v>41</v>
      </c>
      <c r="E141" s="82" t="s">
        <v>382</v>
      </c>
      <c r="F141" s="44" t="s">
        <v>317</v>
      </c>
      <c r="G141" s="83">
        <v>6</v>
      </c>
      <c r="H141" s="83">
        <v>12.81</v>
      </c>
      <c r="I141" s="66">
        <f t="shared" si="22"/>
        <v>16.3</v>
      </c>
      <c r="J141" s="66">
        <f t="shared" si="23"/>
        <v>97.8</v>
      </c>
    </row>
    <row r="142" spans="1:12" ht="20.149999999999999" customHeight="1" outlineLevel="1">
      <c r="B142" s="49" t="s">
        <v>262</v>
      </c>
      <c r="C142" s="51">
        <v>89594</v>
      </c>
      <c r="D142" s="44" t="s">
        <v>41</v>
      </c>
      <c r="E142" s="82" t="s">
        <v>383</v>
      </c>
      <c r="F142" s="44" t="s">
        <v>317</v>
      </c>
      <c r="G142" s="83">
        <v>2</v>
      </c>
      <c r="H142" s="83">
        <v>36.43</v>
      </c>
      <c r="I142" s="66">
        <f t="shared" si="22"/>
        <v>46.34</v>
      </c>
      <c r="J142" s="66">
        <f t="shared" si="23"/>
        <v>92.68</v>
      </c>
    </row>
    <row r="143" spans="1:12" s="69" customFormat="1" ht="20.149999999999999" customHeight="1" outlineLevel="1">
      <c r="A143" s="55"/>
      <c r="B143" s="67" t="s">
        <v>29</v>
      </c>
      <c r="C143" s="48"/>
      <c r="D143" s="59"/>
      <c r="E143" s="60" t="s">
        <v>244</v>
      </c>
      <c r="F143" s="63"/>
      <c r="G143" s="61"/>
      <c r="H143" s="61"/>
      <c r="I143" s="66">
        <f t="shared" si="22"/>
        <v>0</v>
      </c>
      <c r="J143" s="66">
        <f t="shared" si="23"/>
        <v>0</v>
      </c>
      <c r="K143" s="53"/>
      <c r="L143" s="58"/>
    </row>
    <row r="144" spans="1:12" ht="20.149999999999999" customHeight="1" outlineLevel="1">
      <c r="B144" s="49" t="s">
        <v>146</v>
      </c>
      <c r="C144" s="51">
        <v>89353</v>
      </c>
      <c r="D144" s="51" t="s">
        <v>41</v>
      </c>
      <c r="E144" s="82" t="s">
        <v>384</v>
      </c>
      <c r="F144" s="44" t="s">
        <v>317</v>
      </c>
      <c r="G144" s="83">
        <v>1</v>
      </c>
      <c r="H144" s="83">
        <v>27.9</v>
      </c>
      <c r="I144" s="66">
        <f t="shared" si="22"/>
        <v>35.489999999999995</v>
      </c>
      <c r="J144" s="66">
        <f t="shared" si="23"/>
        <v>35.49</v>
      </c>
    </row>
    <row r="145" spans="2:10" ht="20.149999999999999" customHeight="1" outlineLevel="1">
      <c r="B145" s="49" t="s">
        <v>147</v>
      </c>
      <c r="C145" s="44">
        <v>89352</v>
      </c>
      <c r="D145" s="44" t="s">
        <v>41</v>
      </c>
      <c r="E145" s="82" t="s">
        <v>385</v>
      </c>
      <c r="F145" s="44" t="s">
        <v>317</v>
      </c>
      <c r="G145" s="83">
        <v>2</v>
      </c>
      <c r="H145" s="83">
        <v>24.52</v>
      </c>
      <c r="I145" s="66">
        <f t="shared" si="22"/>
        <v>31.189999999999998</v>
      </c>
      <c r="J145" s="66">
        <f t="shared" si="23"/>
        <v>62.38</v>
      </c>
    </row>
    <row r="146" spans="2:10" ht="20.149999999999999" customHeight="1" outlineLevel="1">
      <c r="B146" s="49" t="s">
        <v>148</v>
      </c>
      <c r="C146" s="44">
        <v>94794</v>
      </c>
      <c r="D146" s="44" t="s">
        <v>41</v>
      </c>
      <c r="E146" s="82" t="s">
        <v>386</v>
      </c>
      <c r="F146" s="44" t="s">
        <v>317</v>
      </c>
      <c r="G146" s="83">
        <v>2</v>
      </c>
      <c r="H146" s="83">
        <v>114.81</v>
      </c>
      <c r="I146" s="66">
        <f t="shared" si="22"/>
        <v>146.05000000000001</v>
      </c>
      <c r="J146" s="66">
        <f t="shared" si="23"/>
        <v>292.10000000000002</v>
      </c>
    </row>
    <row r="147" spans="2:10" ht="20.149999999999999" customHeight="1" outlineLevel="1">
      <c r="B147" s="49" t="s">
        <v>149</v>
      </c>
      <c r="C147" s="44">
        <v>94793</v>
      </c>
      <c r="D147" s="44" t="s">
        <v>41</v>
      </c>
      <c r="E147" s="82" t="s">
        <v>387</v>
      </c>
      <c r="F147" s="44" t="s">
        <v>317</v>
      </c>
      <c r="G147" s="83">
        <v>2</v>
      </c>
      <c r="H147" s="83">
        <v>107.13</v>
      </c>
      <c r="I147" s="66">
        <f t="shared" si="22"/>
        <v>136.28</v>
      </c>
      <c r="J147" s="66">
        <f t="shared" si="23"/>
        <v>272.56</v>
      </c>
    </row>
    <row r="148" spans="2:10" ht="20.149999999999999" customHeight="1" outlineLevel="1">
      <c r="B148" s="49" t="s">
        <v>150</v>
      </c>
      <c r="C148" s="44">
        <v>94792</v>
      </c>
      <c r="D148" s="44" t="s">
        <v>41</v>
      </c>
      <c r="E148" s="82" t="s">
        <v>388</v>
      </c>
      <c r="F148" s="44" t="s">
        <v>317</v>
      </c>
      <c r="G148" s="83">
        <v>2</v>
      </c>
      <c r="H148" s="83">
        <v>79.069999999999993</v>
      </c>
      <c r="I148" s="66">
        <f t="shared" si="22"/>
        <v>100.58</v>
      </c>
      <c r="J148" s="66">
        <f t="shared" si="23"/>
        <v>201.16</v>
      </c>
    </row>
    <row r="149" spans="2:10" ht="20.149999999999999" customHeight="1" outlineLevel="1">
      <c r="B149" s="49" t="s">
        <v>263</v>
      </c>
      <c r="C149" s="44">
        <v>89987</v>
      </c>
      <c r="D149" s="44" t="s">
        <v>41</v>
      </c>
      <c r="E149" s="82" t="s">
        <v>389</v>
      </c>
      <c r="F149" s="44" t="s">
        <v>317</v>
      </c>
      <c r="G149" s="83">
        <v>2</v>
      </c>
      <c r="H149" s="83">
        <v>65.13</v>
      </c>
      <c r="I149" s="66">
        <f t="shared" si="22"/>
        <v>82.85</v>
      </c>
      <c r="J149" s="66">
        <f t="shared" si="23"/>
        <v>165.7</v>
      </c>
    </row>
    <row r="150" spans="2:10" ht="20.149999999999999" customHeight="1" outlineLevel="1">
      <c r="B150" s="49" t="s">
        <v>264</v>
      </c>
      <c r="C150" s="44">
        <v>89985</v>
      </c>
      <c r="D150" s="44" t="s">
        <v>41</v>
      </c>
      <c r="E150" s="82" t="s">
        <v>390</v>
      </c>
      <c r="F150" s="44" t="s">
        <v>317</v>
      </c>
      <c r="G150" s="83">
        <v>8</v>
      </c>
      <c r="H150" s="83">
        <v>62.17</v>
      </c>
      <c r="I150" s="66">
        <f t="shared" si="22"/>
        <v>79.09</v>
      </c>
      <c r="J150" s="66">
        <f t="shared" si="23"/>
        <v>632.72</v>
      </c>
    </row>
    <row r="151" spans="2:10" ht="20.149999999999999" customHeight="1" outlineLevel="1">
      <c r="B151" s="49" t="s">
        <v>265</v>
      </c>
      <c r="C151" s="44">
        <v>94656</v>
      </c>
      <c r="D151" s="44" t="s">
        <v>41</v>
      </c>
      <c r="E151" s="82" t="s">
        <v>391</v>
      </c>
      <c r="F151" s="44" t="s">
        <v>317</v>
      </c>
      <c r="G151" s="83">
        <v>12</v>
      </c>
      <c r="H151" s="83">
        <v>3.73</v>
      </c>
      <c r="I151" s="66">
        <f t="shared" si="22"/>
        <v>4.74</v>
      </c>
      <c r="J151" s="66">
        <f t="shared" si="23"/>
        <v>56.88</v>
      </c>
    </row>
    <row r="152" spans="2:10" ht="20.149999999999999" customHeight="1" outlineLevel="1">
      <c r="B152" s="49" t="s">
        <v>266</v>
      </c>
      <c r="C152" s="44">
        <v>94658</v>
      </c>
      <c r="D152" s="44" t="s">
        <v>41</v>
      </c>
      <c r="E152" s="82" t="s">
        <v>392</v>
      </c>
      <c r="F152" s="44" t="s">
        <v>317</v>
      </c>
      <c r="G152" s="83">
        <v>4</v>
      </c>
      <c r="H152" s="83">
        <v>5.57</v>
      </c>
      <c r="I152" s="66">
        <f t="shared" si="22"/>
        <v>7.09</v>
      </c>
      <c r="J152" s="66">
        <f t="shared" si="23"/>
        <v>28.36</v>
      </c>
    </row>
    <row r="153" spans="2:10" ht="20.149999999999999" customHeight="1" outlineLevel="1">
      <c r="B153" s="49" t="s">
        <v>267</v>
      </c>
      <c r="C153" s="44">
        <v>89570</v>
      </c>
      <c r="D153" s="44" t="s">
        <v>41</v>
      </c>
      <c r="E153" s="82" t="s">
        <v>393</v>
      </c>
      <c r="F153" s="44" t="s">
        <v>317</v>
      </c>
      <c r="G153" s="83">
        <v>4</v>
      </c>
      <c r="H153" s="83">
        <v>11.93</v>
      </c>
      <c r="I153" s="66">
        <f t="shared" si="22"/>
        <v>15.18</v>
      </c>
      <c r="J153" s="66">
        <f t="shared" si="23"/>
        <v>60.72</v>
      </c>
    </row>
    <row r="154" spans="2:10" ht="20.149999999999999" customHeight="1" outlineLevel="1">
      <c r="B154" s="49" t="s">
        <v>268</v>
      </c>
      <c r="C154" s="44">
        <v>89596</v>
      </c>
      <c r="D154" s="44" t="s">
        <v>41</v>
      </c>
      <c r="E154" s="82" t="s">
        <v>394</v>
      </c>
      <c r="F154" s="44" t="s">
        <v>317</v>
      </c>
      <c r="G154" s="83">
        <v>4</v>
      </c>
      <c r="H154" s="83">
        <v>10.97</v>
      </c>
      <c r="I154" s="66">
        <f t="shared" si="22"/>
        <v>13.950000000000001</v>
      </c>
      <c r="J154" s="66">
        <f t="shared" si="23"/>
        <v>55.8</v>
      </c>
    </row>
    <row r="155" spans="2:10" ht="20.149999999999999" customHeight="1" outlineLevel="1">
      <c r="B155" s="49" t="s">
        <v>269</v>
      </c>
      <c r="C155" s="44">
        <v>86884</v>
      </c>
      <c r="D155" s="44" t="s">
        <v>41</v>
      </c>
      <c r="E155" s="82" t="s">
        <v>395</v>
      </c>
      <c r="F155" s="44" t="s">
        <v>317</v>
      </c>
      <c r="G155" s="83">
        <v>10</v>
      </c>
      <c r="H155" s="83">
        <v>14.7</v>
      </c>
      <c r="I155" s="66">
        <f t="shared" si="22"/>
        <v>18.7</v>
      </c>
      <c r="J155" s="66">
        <f t="shared" si="23"/>
        <v>187</v>
      </c>
    </row>
    <row r="156" spans="2:10" ht="20.149999999999999" customHeight="1" outlineLevel="1">
      <c r="B156" s="49" t="s">
        <v>270</v>
      </c>
      <c r="C156" s="44">
        <v>94703</v>
      </c>
      <c r="D156" s="44" t="s">
        <v>41</v>
      </c>
      <c r="E156" s="82" t="s">
        <v>396</v>
      </c>
      <c r="F156" s="44" t="s">
        <v>317</v>
      </c>
      <c r="G156" s="83">
        <v>3</v>
      </c>
      <c r="H156" s="83">
        <v>21.17</v>
      </c>
      <c r="I156" s="66">
        <f t="shared" si="22"/>
        <v>26.93</v>
      </c>
      <c r="J156" s="66">
        <f t="shared" si="23"/>
        <v>80.790000000000006</v>
      </c>
    </row>
    <row r="157" spans="2:10" ht="20.149999999999999" customHeight="1" outlineLevel="1">
      <c r="B157" s="49" t="s">
        <v>271</v>
      </c>
      <c r="C157" s="44">
        <v>94706</v>
      </c>
      <c r="D157" s="44" t="s">
        <v>41</v>
      </c>
      <c r="E157" s="82" t="s">
        <v>397</v>
      </c>
      <c r="F157" s="44" t="s">
        <v>317</v>
      </c>
      <c r="G157" s="83">
        <v>2</v>
      </c>
      <c r="H157" s="83">
        <v>37.46</v>
      </c>
      <c r="I157" s="66">
        <f t="shared" si="22"/>
        <v>47.65</v>
      </c>
      <c r="J157" s="66">
        <f t="shared" si="23"/>
        <v>95.3</v>
      </c>
    </row>
    <row r="158" spans="2:10" outlineLevel="1">
      <c r="B158" s="49" t="s">
        <v>272</v>
      </c>
      <c r="C158" s="51">
        <v>102609</v>
      </c>
      <c r="D158" s="44" t="s">
        <v>41</v>
      </c>
      <c r="E158" s="82" t="s">
        <v>350</v>
      </c>
      <c r="F158" s="44" t="s">
        <v>317</v>
      </c>
      <c r="G158" s="83">
        <v>1</v>
      </c>
      <c r="H158" s="83">
        <v>1060.42</v>
      </c>
      <c r="I158" s="66">
        <f t="shared" si="22"/>
        <v>1348.96</v>
      </c>
      <c r="J158" s="66">
        <f t="shared" si="23"/>
        <v>1348.96</v>
      </c>
    </row>
    <row r="159" spans="2:10" ht="20.149999999999999" customHeight="1">
      <c r="B159" s="65"/>
      <c r="C159" s="4"/>
      <c r="D159" s="4"/>
      <c r="E159" s="4"/>
      <c r="F159" s="4"/>
      <c r="G159" s="4"/>
      <c r="H159" s="35"/>
      <c r="I159" s="35"/>
      <c r="J159" s="28"/>
    </row>
    <row r="160" spans="2:10" ht="20.149999999999999" customHeight="1">
      <c r="B160" s="12">
        <v>13</v>
      </c>
      <c r="C160" s="5"/>
      <c r="D160" s="5"/>
      <c r="E160" s="6" t="s">
        <v>52</v>
      </c>
      <c r="F160" s="6"/>
      <c r="G160" s="19"/>
      <c r="H160" s="37"/>
      <c r="I160" s="37"/>
      <c r="J160" s="31">
        <f>SUM(J162:J181)</f>
        <v>23551.980000000003</v>
      </c>
    </row>
    <row r="161" spans="1:10" s="69" customFormat="1" ht="20.149999999999999" customHeight="1" outlineLevel="1">
      <c r="A161" s="55"/>
      <c r="B161" s="67" t="s">
        <v>69</v>
      </c>
      <c r="C161" s="67"/>
      <c r="D161" s="46"/>
      <c r="E161" s="105" t="s">
        <v>278</v>
      </c>
      <c r="F161" s="68"/>
      <c r="G161" s="61"/>
      <c r="H161" s="73"/>
      <c r="I161" s="62"/>
      <c r="J161" s="62"/>
    </row>
    <row r="162" spans="1:10" ht="20.149999999999999" customHeight="1" outlineLevel="1">
      <c r="B162" s="49" t="s">
        <v>151</v>
      </c>
      <c r="C162" s="51">
        <v>89711</v>
      </c>
      <c r="D162" s="51" t="s">
        <v>41</v>
      </c>
      <c r="E162" s="82" t="s">
        <v>398</v>
      </c>
      <c r="F162" s="51" t="s">
        <v>318</v>
      </c>
      <c r="G162" s="83">
        <v>47.5</v>
      </c>
      <c r="H162" s="83">
        <v>24.1</v>
      </c>
      <c r="I162" s="66">
        <f t="shared" ref="I162:I181" si="24">ROUND(H162*$J$6,2)+H162</f>
        <v>30.66</v>
      </c>
      <c r="J162" s="66">
        <f t="shared" ref="J162:J181" si="25">ROUND(G162*I162,2)</f>
        <v>1456.35</v>
      </c>
    </row>
    <row r="163" spans="1:10" ht="20.149999999999999" customHeight="1" outlineLevel="1">
      <c r="B163" s="49" t="s">
        <v>152</v>
      </c>
      <c r="C163" s="51">
        <v>89712</v>
      </c>
      <c r="D163" s="51" t="s">
        <v>41</v>
      </c>
      <c r="E163" s="82" t="s">
        <v>399</v>
      </c>
      <c r="F163" s="51" t="s">
        <v>318</v>
      </c>
      <c r="G163" s="83">
        <v>21.5</v>
      </c>
      <c r="H163" s="83">
        <v>30.08</v>
      </c>
      <c r="I163" s="66">
        <f t="shared" si="24"/>
        <v>38.26</v>
      </c>
      <c r="J163" s="66">
        <f t="shared" si="25"/>
        <v>822.59</v>
      </c>
    </row>
    <row r="164" spans="1:10" ht="20.149999999999999" customHeight="1" outlineLevel="1">
      <c r="B164" s="49" t="s">
        <v>153</v>
      </c>
      <c r="C164" s="51">
        <v>89714</v>
      </c>
      <c r="D164" s="51" t="s">
        <v>41</v>
      </c>
      <c r="E164" s="82" t="s">
        <v>400</v>
      </c>
      <c r="F164" s="51" t="s">
        <v>318</v>
      </c>
      <c r="G164" s="83">
        <v>36</v>
      </c>
      <c r="H164" s="83">
        <v>41.9</v>
      </c>
      <c r="I164" s="66">
        <f t="shared" si="24"/>
        <v>53.3</v>
      </c>
      <c r="J164" s="66">
        <f t="shared" si="25"/>
        <v>1918.8</v>
      </c>
    </row>
    <row r="165" spans="1:10" ht="20.149999999999999" customHeight="1" outlineLevel="1">
      <c r="B165" s="49" t="s">
        <v>154</v>
      </c>
      <c r="C165" s="51">
        <v>89726</v>
      </c>
      <c r="D165" s="51" t="s">
        <v>41</v>
      </c>
      <c r="E165" s="82" t="s">
        <v>401</v>
      </c>
      <c r="F165" s="51" t="s">
        <v>352</v>
      </c>
      <c r="G165" s="83">
        <v>7</v>
      </c>
      <c r="H165" s="83">
        <v>11.49</v>
      </c>
      <c r="I165" s="66">
        <f t="shared" si="24"/>
        <v>14.620000000000001</v>
      </c>
      <c r="J165" s="66">
        <f t="shared" si="25"/>
        <v>102.34</v>
      </c>
    </row>
    <row r="166" spans="1:10" ht="20.149999999999999" customHeight="1" outlineLevel="1">
      <c r="B166" s="49" t="s">
        <v>155</v>
      </c>
      <c r="C166" s="51">
        <v>89744</v>
      </c>
      <c r="D166" s="51" t="s">
        <v>41</v>
      </c>
      <c r="E166" s="82" t="s">
        <v>402</v>
      </c>
      <c r="F166" s="51" t="s">
        <v>352</v>
      </c>
      <c r="G166" s="83">
        <v>6</v>
      </c>
      <c r="H166" s="83">
        <v>28.65</v>
      </c>
      <c r="I166" s="66">
        <f t="shared" si="24"/>
        <v>36.449999999999996</v>
      </c>
      <c r="J166" s="66">
        <f t="shared" si="25"/>
        <v>218.7</v>
      </c>
    </row>
    <row r="167" spans="1:10" ht="20.149999999999999" customHeight="1" outlineLevel="1">
      <c r="B167" s="49" t="s">
        <v>156</v>
      </c>
      <c r="C167" s="44">
        <v>89724</v>
      </c>
      <c r="D167" s="51" t="s">
        <v>41</v>
      </c>
      <c r="E167" s="82" t="s">
        <v>403</v>
      </c>
      <c r="F167" s="51" t="s">
        <v>352</v>
      </c>
      <c r="G167" s="83">
        <v>10</v>
      </c>
      <c r="H167" s="83">
        <v>11.26</v>
      </c>
      <c r="I167" s="66">
        <f t="shared" si="24"/>
        <v>14.32</v>
      </c>
      <c r="J167" s="66">
        <f t="shared" si="25"/>
        <v>143.19999999999999</v>
      </c>
    </row>
    <row r="168" spans="1:10" ht="20.149999999999999" customHeight="1" outlineLevel="1">
      <c r="B168" s="49" t="s">
        <v>280</v>
      </c>
      <c r="C168" s="44">
        <v>89827</v>
      </c>
      <c r="D168" s="51" t="s">
        <v>41</v>
      </c>
      <c r="E168" s="82" t="s">
        <v>404</v>
      </c>
      <c r="F168" s="51" t="s">
        <v>352</v>
      </c>
      <c r="G168" s="83">
        <v>6</v>
      </c>
      <c r="H168" s="83">
        <v>19.61</v>
      </c>
      <c r="I168" s="66">
        <f t="shared" si="24"/>
        <v>24.95</v>
      </c>
      <c r="J168" s="66">
        <f t="shared" si="25"/>
        <v>149.69999999999999</v>
      </c>
    </row>
    <row r="169" spans="1:10" ht="20.149999999999999" customHeight="1" outlineLevel="1">
      <c r="B169" s="49" t="s">
        <v>281</v>
      </c>
      <c r="C169" s="44">
        <v>89834</v>
      </c>
      <c r="D169" s="51" t="s">
        <v>41</v>
      </c>
      <c r="E169" s="82" t="s">
        <v>405</v>
      </c>
      <c r="F169" s="51" t="s">
        <v>352</v>
      </c>
      <c r="G169" s="83">
        <v>5</v>
      </c>
      <c r="H169" s="83">
        <v>54.64</v>
      </c>
      <c r="I169" s="66">
        <f t="shared" si="24"/>
        <v>69.510000000000005</v>
      </c>
      <c r="J169" s="66">
        <f t="shared" si="25"/>
        <v>347.55</v>
      </c>
    </row>
    <row r="170" spans="1:10" ht="20.149999999999999" customHeight="1" outlineLevel="1">
      <c r="B170" s="49" t="s">
        <v>282</v>
      </c>
      <c r="C170" s="44">
        <v>89797</v>
      </c>
      <c r="D170" s="51" t="s">
        <v>41</v>
      </c>
      <c r="E170" s="82" t="s">
        <v>406</v>
      </c>
      <c r="F170" s="51" t="s">
        <v>352</v>
      </c>
      <c r="G170" s="83">
        <v>5</v>
      </c>
      <c r="H170" s="83">
        <v>52.71</v>
      </c>
      <c r="I170" s="66">
        <f t="shared" si="24"/>
        <v>67.05</v>
      </c>
      <c r="J170" s="66">
        <f t="shared" si="25"/>
        <v>335.25</v>
      </c>
    </row>
    <row r="171" spans="1:10" ht="20.149999999999999" customHeight="1" outlineLevel="1">
      <c r="B171" s="49" t="s">
        <v>283</v>
      </c>
      <c r="C171" s="51">
        <v>89852</v>
      </c>
      <c r="D171" s="51" t="s">
        <v>41</v>
      </c>
      <c r="E171" s="82" t="s">
        <v>407</v>
      </c>
      <c r="F171" s="51" t="s">
        <v>352</v>
      </c>
      <c r="G171" s="83">
        <v>1</v>
      </c>
      <c r="H171" s="83">
        <v>48.71</v>
      </c>
      <c r="I171" s="66">
        <f t="shared" si="24"/>
        <v>61.96</v>
      </c>
      <c r="J171" s="66">
        <f t="shared" si="25"/>
        <v>61.96</v>
      </c>
    </row>
    <row r="172" spans="1:10" ht="20.149999999999999" customHeight="1" outlineLevel="1">
      <c r="B172" s="49" t="s">
        <v>284</v>
      </c>
      <c r="C172" s="51">
        <v>89728</v>
      </c>
      <c r="D172" s="51" t="s">
        <v>41</v>
      </c>
      <c r="E172" s="82" t="s">
        <v>408</v>
      </c>
      <c r="F172" s="51" t="s">
        <v>352</v>
      </c>
      <c r="G172" s="83">
        <v>16</v>
      </c>
      <c r="H172" s="83">
        <v>14.19</v>
      </c>
      <c r="I172" s="66">
        <f t="shared" si="24"/>
        <v>18.05</v>
      </c>
      <c r="J172" s="66">
        <f t="shared" si="25"/>
        <v>288.8</v>
      </c>
    </row>
    <row r="173" spans="1:10" s="69" customFormat="1" ht="20.149999999999999" customHeight="1" outlineLevel="1">
      <c r="A173" s="55"/>
      <c r="B173" s="67" t="s">
        <v>70</v>
      </c>
      <c r="C173" s="46"/>
      <c r="D173" s="46"/>
      <c r="E173" s="60" t="s">
        <v>279</v>
      </c>
      <c r="F173" s="46"/>
      <c r="G173" s="61"/>
      <c r="H173" s="61"/>
      <c r="I173" s="66"/>
      <c r="J173" s="66"/>
    </row>
    <row r="174" spans="1:10" ht="20.149999999999999" customHeight="1" outlineLevel="1">
      <c r="B174" s="49" t="s">
        <v>157</v>
      </c>
      <c r="C174" s="51">
        <v>104329</v>
      </c>
      <c r="D174" s="51" t="s">
        <v>41</v>
      </c>
      <c r="E174" s="82" t="s">
        <v>409</v>
      </c>
      <c r="F174" s="51" t="s">
        <v>352</v>
      </c>
      <c r="G174" s="83">
        <v>6</v>
      </c>
      <c r="H174" s="83">
        <v>99.99</v>
      </c>
      <c r="I174" s="66">
        <f t="shared" si="24"/>
        <v>127.19999999999999</v>
      </c>
      <c r="J174" s="66">
        <f t="shared" si="25"/>
        <v>763.2</v>
      </c>
    </row>
    <row r="175" spans="1:10" ht="25" outlineLevel="1">
      <c r="B175" s="49" t="s">
        <v>158</v>
      </c>
      <c r="C175" s="44">
        <v>97995</v>
      </c>
      <c r="D175" s="51" t="s">
        <v>41</v>
      </c>
      <c r="E175" s="82" t="s">
        <v>351</v>
      </c>
      <c r="F175" s="51" t="s">
        <v>352</v>
      </c>
      <c r="G175" s="83">
        <v>2</v>
      </c>
      <c r="H175" s="83">
        <v>1383.39</v>
      </c>
      <c r="I175" s="66">
        <f t="shared" si="24"/>
        <v>1759.8100000000002</v>
      </c>
      <c r="J175" s="66">
        <f t="shared" si="25"/>
        <v>3519.62</v>
      </c>
    </row>
    <row r="176" spans="1:10" ht="20.149999999999999" customHeight="1" outlineLevel="1">
      <c r="B176" s="49" t="s">
        <v>159</v>
      </c>
      <c r="C176" s="51">
        <v>89710</v>
      </c>
      <c r="D176" s="51" t="s">
        <v>41</v>
      </c>
      <c r="E176" s="82" t="s">
        <v>410</v>
      </c>
      <c r="F176" s="51" t="s">
        <v>352</v>
      </c>
      <c r="G176" s="83">
        <v>6</v>
      </c>
      <c r="H176" s="83">
        <v>22.85</v>
      </c>
      <c r="I176" s="66">
        <f t="shared" si="24"/>
        <v>29.07</v>
      </c>
      <c r="J176" s="66">
        <f t="shared" si="25"/>
        <v>174.42</v>
      </c>
    </row>
    <row r="177" spans="1:12" ht="20.149999999999999" customHeight="1" outlineLevel="1">
      <c r="B177" s="49" t="s">
        <v>160</v>
      </c>
      <c r="C177" s="51">
        <v>89798</v>
      </c>
      <c r="D177" s="51" t="s">
        <v>41</v>
      </c>
      <c r="E177" s="82" t="s">
        <v>411</v>
      </c>
      <c r="F177" s="51" t="s">
        <v>352</v>
      </c>
      <c r="G177" s="83">
        <v>8</v>
      </c>
      <c r="H177" s="83">
        <v>13.87</v>
      </c>
      <c r="I177" s="66">
        <f t="shared" si="24"/>
        <v>17.64</v>
      </c>
      <c r="J177" s="66">
        <f t="shared" si="25"/>
        <v>141.12</v>
      </c>
    </row>
    <row r="178" spans="1:12" ht="20.149999999999999" customHeight="1" outlineLevel="1">
      <c r="B178" s="49" t="s">
        <v>161</v>
      </c>
      <c r="C178" s="44">
        <v>86882</v>
      </c>
      <c r="D178" s="51" t="s">
        <v>41</v>
      </c>
      <c r="E178" s="82" t="s">
        <v>412</v>
      </c>
      <c r="F178" s="51" t="s">
        <v>352</v>
      </c>
      <c r="G178" s="83">
        <v>8</v>
      </c>
      <c r="H178" s="83">
        <v>32.53</v>
      </c>
      <c r="I178" s="66">
        <f t="shared" si="24"/>
        <v>41.38</v>
      </c>
      <c r="J178" s="66">
        <f t="shared" si="25"/>
        <v>331.04</v>
      </c>
    </row>
    <row r="179" spans="1:12" ht="25" outlineLevel="1">
      <c r="B179" s="49" t="s">
        <v>162</v>
      </c>
      <c r="C179" s="44">
        <v>99629</v>
      </c>
      <c r="D179" s="51" t="s">
        <v>41</v>
      </c>
      <c r="E179" s="82" t="s">
        <v>353</v>
      </c>
      <c r="F179" s="51" t="s">
        <v>352</v>
      </c>
      <c r="G179" s="83">
        <v>8</v>
      </c>
      <c r="H179" s="83">
        <v>87.94</v>
      </c>
      <c r="I179" s="66">
        <f t="shared" si="24"/>
        <v>111.87</v>
      </c>
      <c r="J179" s="66">
        <f t="shared" si="25"/>
        <v>894.96</v>
      </c>
    </row>
    <row r="180" spans="1:12" s="69" customFormat="1" ht="25" outlineLevel="1">
      <c r="A180" s="55"/>
      <c r="B180" s="49" t="s">
        <v>163</v>
      </c>
      <c r="C180" s="46">
        <v>98064</v>
      </c>
      <c r="D180" s="46" t="s">
        <v>41</v>
      </c>
      <c r="E180" s="82" t="s">
        <v>355</v>
      </c>
      <c r="F180" s="51" t="s">
        <v>352</v>
      </c>
      <c r="G180" s="83">
        <v>1</v>
      </c>
      <c r="H180" s="83">
        <v>6118.45</v>
      </c>
      <c r="I180" s="66">
        <f t="shared" si="24"/>
        <v>7783.28</v>
      </c>
      <c r="J180" s="66">
        <f t="shared" si="25"/>
        <v>7783.28</v>
      </c>
      <c r="K180" s="65"/>
      <c r="L180" s="58"/>
    </row>
    <row r="181" spans="1:12" s="69" customFormat="1" ht="25" outlineLevel="1">
      <c r="A181" s="55"/>
      <c r="B181" s="49" t="s">
        <v>164</v>
      </c>
      <c r="C181" s="46">
        <v>98053</v>
      </c>
      <c r="D181" s="48" t="s">
        <v>41</v>
      </c>
      <c r="E181" s="82" t="s">
        <v>354</v>
      </c>
      <c r="F181" s="51" t="s">
        <v>352</v>
      </c>
      <c r="G181" s="83">
        <v>1</v>
      </c>
      <c r="H181" s="83">
        <v>3222.31</v>
      </c>
      <c r="I181" s="66">
        <f t="shared" si="24"/>
        <v>4099.1000000000004</v>
      </c>
      <c r="J181" s="66">
        <f t="shared" si="25"/>
        <v>4099.1000000000004</v>
      </c>
      <c r="K181" s="65"/>
      <c r="L181" s="58"/>
    </row>
    <row r="182" spans="1:12" ht="20.149999999999999" customHeight="1">
      <c r="B182" s="2"/>
      <c r="C182" s="2"/>
      <c r="D182" s="2"/>
      <c r="E182" s="2"/>
      <c r="F182" s="2"/>
      <c r="G182" s="2"/>
      <c r="H182" s="38"/>
      <c r="I182" s="38"/>
      <c r="J182" s="32"/>
    </row>
    <row r="183" spans="1:12" ht="20.149999999999999" customHeight="1">
      <c r="B183" s="12">
        <v>14</v>
      </c>
      <c r="C183" s="5"/>
      <c r="D183" s="5"/>
      <c r="E183" s="6" t="s">
        <v>234</v>
      </c>
      <c r="F183" s="6"/>
      <c r="G183" s="19"/>
      <c r="H183" s="37"/>
      <c r="I183" s="37"/>
      <c r="J183" s="31">
        <f>J184+J185+J186</f>
        <v>29172.11</v>
      </c>
    </row>
    <row r="184" spans="1:12" ht="25">
      <c r="B184" s="49" t="s">
        <v>30</v>
      </c>
      <c r="C184" s="44">
        <v>94229</v>
      </c>
      <c r="D184" s="48" t="s">
        <v>41</v>
      </c>
      <c r="E184" s="82" t="s">
        <v>543</v>
      </c>
      <c r="F184" s="51" t="s">
        <v>318</v>
      </c>
      <c r="G184" s="83">
        <f>'MEMÓRIA DE CÁLCULO'!J512</f>
        <v>72</v>
      </c>
      <c r="H184" s="83">
        <v>173.6</v>
      </c>
      <c r="I184" s="66">
        <f t="shared" ref="I184:I185" si="26">ROUND(H184*$J$6,2)+H184</f>
        <v>220.84</v>
      </c>
      <c r="J184" s="66">
        <f t="shared" ref="J184:J185" si="27">ROUND(G184*I184,2)</f>
        <v>15900.48</v>
      </c>
    </row>
    <row r="185" spans="1:12" ht="25">
      <c r="B185" s="49" t="s">
        <v>545</v>
      </c>
      <c r="C185" s="44">
        <v>89578</v>
      </c>
      <c r="D185" s="48" t="s">
        <v>41</v>
      </c>
      <c r="E185" s="82" t="s">
        <v>544</v>
      </c>
      <c r="F185" s="51" t="s">
        <v>318</v>
      </c>
      <c r="G185" s="83">
        <f>'MEMÓRIA DE CÁLCULO'!J517</f>
        <v>45</v>
      </c>
      <c r="H185" s="83">
        <v>33.75</v>
      </c>
      <c r="I185" s="66">
        <f t="shared" si="26"/>
        <v>42.93</v>
      </c>
      <c r="J185" s="66">
        <f t="shared" si="27"/>
        <v>1931.85</v>
      </c>
    </row>
    <row r="186" spans="1:12" ht="37.5" outlineLevel="1">
      <c r="B186" s="49" t="s">
        <v>546</v>
      </c>
      <c r="C186" s="44" t="s">
        <v>658</v>
      </c>
      <c r="D186" s="51" t="s">
        <v>469</v>
      </c>
      <c r="E186" s="82" t="s">
        <v>657</v>
      </c>
      <c r="F186" s="51" t="s">
        <v>318</v>
      </c>
      <c r="G186" s="83">
        <f>'MEMÓRIA DE CÁLCULO'!J523</f>
        <v>82</v>
      </c>
      <c r="H186" s="83">
        <v>108.71</v>
      </c>
      <c r="I186" s="66">
        <f t="shared" ref="I186" si="28">ROUND(H186*$J$6,2)+H186</f>
        <v>138.29</v>
      </c>
      <c r="J186" s="66">
        <f t="shared" ref="J186" si="29">ROUND(G186*I186,2)</f>
        <v>11339.78</v>
      </c>
    </row>
    <row r="187" spans="1:12" ht="20.149999999999999" customHeight="1">
      <c r="B187" s="106"/>
      <c r="C187" s="106"/>
      <c r="D187" s="106"/>
      <c r="G187" s="107"/>
      <c r="H187" s="89"/>
      <c r="I187" s="89"/>
      <c r="J187" s="89"/>
    </row>
    <row r="188" spans="1:12" ht="20.149999999999999" customHeight="1">
      <c r="B188" s="12">
        <v>15</v>
      </c>
      <c r="C188" s="5"/>
      <c r="D188" s="5"/>
      <c r="E188" s="6" t="s">
        <v>235</v>
      </c>
      <c r="F188" s="6"/>
      <c r="G188" s="19"/>
      <c r="H188" s="37"/>
      <c r="I188" s="37"/>
      <c r="J188" s="31">
        <f>SUM(J189:J200)</f>
        <v>10660.2</v>
      </c>
    </row>
    <row r="189" spans="1:12" ht="25" outlineLevel="1">
      <c r="B189" s="49" t="s">
        <v>71</v>
      </c>
      <c r="C189" s="49">
        <v>95470</v>
      </c>
      <c r="D189" s="52" t="s">
        <v>41</v>
      </c>
      <c r="E189" s="82" t="s">
        <v>536</v>
      </c>
      <c r="F189" s="98" t="s">
        <v>317</v>
      </c>
      <c r="G189" s="83">
        <v>4</v>
      </c>
      <c r="H189" s="83">
        <v>330.73</v>
      </c>
      <c r="I189" s="66">
        <f t="shared" ref="I189:I200" si="30">ROUND(H189*$J$6,2)+H189</f>
        <v>420.72</v>
      </c>
      <c r="J189" s="66">
        <f t="shared" ref="J189:J200" si="31">ROUND(G189*I189,2)</f>
        <v>1682.88</v>
      </c>
    </row>
    <row r="190" spans="1:12" ht="37.5" outlineLevel="1">
      <c r="B190" s="49" t="s">
        <v>72</v>
      </c>
      <c r="C190" s="49">
        <v>95472</v>
      </c>
      <c r="D190" s="52" t="s">
        <v>41</v>
      </c>
      <c r="E190" s="82" t="s">
        <v>537</v>
      </c>
      <c r="F190" s="98" t="s">
        <v>317</v>
      </c>
      <c r="G190" s="83">
        <v>2</v>
      </c>
      <c r="H190" s="83">
        <v>807.84</v>
      </c>
      <c r="I190" s="66">
        <f t="shared" si="30"/>
        <v>1027.6500000000001</v>
      </c>
      <c r="J190" s="66">
        <f t="shared" si="31"/>
        <v>2055.3000000000002</v>
      </c>
    </row>
    <row r="191" spans="1:12" ht="19.5" customHeight="1" outlineLevel="1">
      <c r="B191" s="49" t="s">
        <v>73</v>
      </c>
      <c r="C191" s="44">
        <v>86901</v>
      </c>
      <c r="D191" s="44" t="s">
        <v>41</v>
      </c>
      <c r="E191" s="82" t="s">
        <v>413</v>
      </c>
      <c r="F191" s="98" t="s">
        <v>317</v>
      </c>
      <c r="G191" s="83">
        <v>6</v>
      </c>
      <c r="H191" s="83">
        <v>150.59</v>
      </c>
      <c r="I191" s="66">
        <f t="shared" si="30"/>
        <v>191.57</v>
      </c>
      <c r="J191" s="66">
        <f t="shared" si="31"/>
        <v>1149.42</v>
      </c>
    </row>
    <row r="192" spans="1:12" ht="19.5" customHeight="1" outlineLevel="1">
      <c r="B192" s="49" t="s">
        <v>74</v>
      </c>
      <c r="C192" s="44">
        <v>86942</v>
      </c>
      <c r="D192" s="44" t="s">
        <v>41</v>
      </c>
      <c r="E192" s="82" t="s">
        <v>414</v>
      </c>
      <c r="F192" s="98" t="s">
        <v>317</v>
      </c>
      <c r="G192" s="83">
        <v>2</v>
      </c>
      <c r="H192" s="83">
        <v>288.24</v>
      </c>
      <c r="I192" s="66">
        <f t="shared" si="30"/>
        <v>366.67</v>
      </c>
      <c r="J192" s="66">
        <f t="shared" si="31"/>
        <v>733.34</v>
      </c>
    </row>
    <row r="193" spans="2:10" ht="25" outlineLevel="1">
      <c r="B193" s="49" t="s">
        <v>75</v>
      </c>
      <c r="C193" s="48" t="s">
        <v>478</v>
      </c>
      <c r="D193" s="46" t="s">
        <v>469</v>
      </c>
      <c r="E193" s="82" t="s">
        <v>477</v>
      </c>
      <c r="F193" s="98" t="s">
        <v>317</v>
      </c>
      <c r="G193" s="83">
        <v>2</v>
      </c>
      <c r="H193" s="83">
        <v>151.61000000000001</v>
      </c>
      <c r="I193" s="66">
        <f t="shared" si="30"/>
        <v>192.86</v>
      </c>
      <c r="J193" s="66">
        <f t="shared" si="31"/>
        <v>385.72</v>
      </c>
    </row>
    <row r="194" spans="2:10" outlineLevel="1">
      <c r="B194" s="49" t="s">
        <v>92</v>
      </c>
      <c r="C194" s="44">
        <v>86906</v>
      </c>
      <c r="D194" s="44" t="s">
        <v>41</v>
      </c>
      <c r="E194" s="82" t="s">
        <v>415</v>
      </c>
      <c r="F194" s="98" t="s">
        <v>317</v>
      </c>
      <c r="G194" s="83">
        <v>8</v>
      </c>
      <c r="H194" s="83">
        <v>65.94</v>
      </c>
      <c r="I194" s="66">
        <f t="shared" si="30"/>
        <v>83.88</v>
      </c>
      <c r="J194" s="66">
        <f t="shared" si="31"/>
        <v>671.04</v>
      </c>
    </row>
    <row r="195" spans="2:10" outlineLevel="1">
      <c r="B195" s="49" t="s">
        <v>93</v>
      </c>
      <c r="C195" s="44">
        <v>86914</v>
      </c>
      <c r="D195" s="44" t="s">
        <v>41</v>
      </c>
      <c r="E195" s="82" t="s">
        <v>416</v>
      </c>
      <c r="F195" s="98" t="s">
        <v>317</v>
      </c>
      <c r="G195" s="83">
        <v>2</v>
      </c>
      <c r="H195" s="83">
        <v>86.98</v>
      </c>
      <c r="I195" s="66">
        <f t="shared" si="30"/>
        <v>110.65</v>
      </c>
      <c r="J195" s="66">
        <f t="shared" si="31"/>
        <v>221.3</v>
      </c>
    </row>
    <row r="196" spans="2:10" ht="25" outlineLevel="1">
      <c r="B196" s="49" t="s">
        <v>94</v>
      </c>
      <c r="C196" s="44">
        <v>100860</v>
      </c>
      <c r="D196" s="44" t="s">
        <v>41</v>
      </c>
      <c r="E196" s="82" t="s">
        <v>417</v>
      </c>
      <c r="F196" s="98" t="s">
        <v>317</v>
      </c>
      <c r="G196" s="83">
        <v>6</v>
      </c>
      <c r="H196" s="83">
        <v>98.46</v>
      </c>
      <c r="I196" s="66">
        <f t="shared" si="30"/>
        <v>125.25</v>
      </c>
      <c r="J196" s="66">
        <f t="shared" si="31"/>
        <v>751.5</v>
      </c>
    </row>
    <row r="197" spans="2:10" ht="25.5" customHeight="1" outlineLevel="1">
      <c r="B197" s="49" t="s">
        <v>95</v>
      </c>
      <c r="C197" s="48">
        <v>95544</v>
      </c>
      <c r="D197" s="44" t="s">
        <v>41</v>
      </c>
      <c r="E197" s="82" t="s">
        <v>356</v>
      </c>
      <c r="F197" s="98" t="s">
        <v>317</v>
      </c>
      <c r="G197" s="83">
        <v>6</v>
      </c>
      <c r="H197" s="83">
        <v>64.11</v>
      </c>
      <c r="I197" s="66">
        <f t="shared" si="30"/>
        <v>81.55</v>
      </c>
      <c r="J197" s="66">
        <f t="shared" si="31"/>
        <v>489.3</v>
      </c>
    </row>
    <row r="198" spans="2:10" ht="20.149999999999999" customHeight="1" outlineLevel="1">
      <c r="B198" s="49" t="s">
        <v>96</v>
      </c>
      <c r="C198" s="48">
        <v>95545</v>
      </c>
      <c r="D198" s="44" t="s">
        <v>41</v>
      </c>
      <c r="E198" s="82" t="s">
        <v>357</v>
      </c>
      <c r="F198" s="98" t="s">
        <v>317</v>
      </c>
      <c r="G198" s="83">
        <v>4</v>
      </c>
      <c r="H198" s="83">
        <v>62.82</v>
      </c>
      <c r="I198" s="66">
        <f t="shared" si="30"/>
        <v>79.91</v>
      </c>
      <c r="J198" s="66">
        <f t="shared" si="31"/>
        <v>319.64</v>
      </c>
    </row>
    <row r="199" spans="2:10" ht="20.149999999999999" customHeight="1" outlineLevel="1">
      <c r="B199" s="49" t="s">
        <v>97</v>
      </c>
      <c r="C199" s="49">
        <v>100849</v>
      </c>
      <c r="D199" s="44" t="s">
        <v>41</v>
      </c>
      <c r="E199" s="82" t="s">
        <v>358</v>
      </c>
      <c r="F199" s="98" t="s">
        <v>317</v>
      </c>
      <c r="G199" s="83">
        <v>6</v>
      </c>
      <c r="H199" s="83">
        <v>42.17</v>
      </c>
      <c r="I199" s="66">
        <f t="shared" si="30"/>
        <v>53.64</v>
      </c>
      <c r="J199" s="66">
        <f t="shared" si="31"/>
        <v>321.83999999999997</v>
      </c>
    </row>
    <row r="200" spans="2:10" ht="25" outlineLevel="1">
      <c r="B200" s="49" t="s">
        <v>538</v>
      </c>
      <c r="C200" s="46">
        <v>100875</v>
      </c>
      <c r="D200" s="44" t="s">
        <v>41</v>
      </c>
      <c r="E200" s="82" t="s">
        <v>359</v>
      </c>
      <c r="F200" s="98" t="s">
        <v>317</v>
      </c>
      <c r="G200" s="83">
        <v>2</v>
      </c>
      <c r="H200" s="83">
        <v>738.51</v>
      </c>
      <c r="I200" s="66">
        <f t="shared" si="30"/>
        <v>939.46</v>
      </c>
      <c r="J200" s="66">
        <f t="shared" si="31"/>
        <v>1878.92</v>
      </c>
    </row>
    <row r="201" spans="2:10" ht="20.149999999999999" customHeight="1">
      <c r="B201" s="4"/>
      <c r="C201" s="4"/>
      <c r="D201" s="4"/>
      <c r="E201" s="4"/>
      <c r="F201" s="4"/>
      <c r="G201" s="4"/>
      <c r="H201" s="35"/>
      <c r="I201" s="35"/>
      <c r="J201" s="28"/>
    </row>
    <row r="202" spans="2:10" ht="20.149999999999999" customHeight="1">
      <c r="B202" s="12">
        <v>16</v>
      </c>
      <c r="C202" s="5"/>
      <c r="D202" s="5"/>
      <c r="E202" s="6" t="s">
        <v>63</v>
      </c>
      <c r="F202" s="6"/>
      <c r="G202" s="19"/>
      <c r="H202" s="37"/>
      <c r="I202" s="37"/>
      <c r="J202" s="31">
        <f>SUM(J203:J207)</f>
        <v>2524.5</v>
      </c>
    </row>
    <row r="203" spans="2:10" ht="20.149999999999999" customHeight="1" outlineLevel="1">
      <c r="B203" s="51" t="s">
        <v>55</v>
      </c>
      <c r="C203" s="48" t="s">
        <v>479</v>
      </c>
      <c r="D203" s="46" t="s">
        <v>469</v>
      </c>
      <c r="E203" s="82" t="s">
        <v>480</v>
      </c>
      <c r="F203" s="98" t="s">
        <v>317</v>
      </c>
      <c r="G203" s="83">
        <v>2</v>
      </c>
      <c r="H203" s="83">
        <v>701.24</v>
      </c>
      <c r="I203" s="66">
        <f t="shared" ref="I203:I207" si="32">ROUND(H203*$J$6,2)+H203</f>
        <v>892.05</v>
      </c>
      <c r="J203" s="66">
        <f t="shared" ref="J203:J207" si="33">ROUND(G203*I203,2)</f>
        <v>1784.1</v>
      </c>
    </row>
    <row r="204" spans="2:10" ht="25" outlineLevel="1">
      <c r="B204" s="51" t="s">
        <v>86</v>
      </c>
      <c r="C204" s="48" t="s">
        <v>481</v>
      </c>
      <c r="D204" s="46" t="s">
        <v>469</v>
      </c>
      <c r="E204" s="82" t="s">
        <v>482</v>
      </c>
      <c r="F204" s="98" t="s">
        <v>317</v>
      </c>
      <c r="G204" s="83">
        <v>2</v>
      </c>
      <c r="H204" s="83">
        <v>227.39</v>
      </c>
      <c r="I204" s="66">
        <f t="shared" si="32"/>
        <v>289.26</v>
      </c>
      <c r="J204" s="66">
        <f t="shared" si="33"/>
        <v>578.52</v>
      </c>
    </row>
    <row r="205" spans="2:10" ht="20.149999999999999" customHeight="1" outlineLevel="1">
      <c r="B205" s="51" t="s">
        <v>56</v>
      </c>
      <c r="C205" s="48" t="s">
        <v>483</v>
      </c>
      <c r="D205" s="46" t="s">
        <v>469</v>
      </c>
      <c r="E205" s="82" t="s">
        <v>418</v>
      </c>
      <c r="F205" s="98" t="s">
        <v>317</v>
      </c>
      <c r="G205" s="83">
        <v>2</v>
      </c>
      <c r="H205" s="83">
        <v>31.9</v>
      </c>
      <c r="I205" s="66">
        <f t="shared" si="32"/>
        <v>40.58</v>
      </c>
      <c r="J205" s="66">
        <f t="shared" si="33"/>
        <v>81.16</v>
      </c>
    </row>
    <row r="206" spans="2:10" ht="20.149999999999999" customHeight="1" outlineLevel="1">
      <c r="B206" s="51" t="s">
        <v>57</v>
      </c>
      <c r="C206" s="48" t="s">
        <v>484</v>
      </c>
      <c r="D206" s="46" t="s">
        <v>469</v>
      </c>
      <c r="E206" s="82" t="s">
        <v>419</v>
      </c>
      <c r="F206" s="98" t="s">
        <v>317</v>
      </c>
      <c r="G206" s="83">
        <v>2</v>
      </c>
      <c r="H206" s="83">
        <v>15.86</v>
      </c>
      <c r="I206" s="66">
        <f t="shared" si="32"/>
        <v>20.18</v>
      </c>
      <c r="J206" s="66">
        <f t="shared" si="33"/>
        <v>40.36</v>
      </c>
    </row>
    <row r="207" spans="2:10" ht="20.149999999999999" customHeight="1" outlineLevel="1">
      <c r="B207" s="51" t="s">
        <v>87</v>
      </c>
      <c r="C207" s="48" t="s">
        <v>484</v>
      </c>
      <c r="D207" s="46" t="s">
        <v>469</v>
      </c>
      <c r="E207" s="82" t="s">
        <v>420</v>
      </c>
      <c r="F207" s="98" t="s">
        <v>317</v>
      </c>
      <c r="G207" s="83">
        <v>2</v>
      </c>
      <c r="H207" s="83">
        <v>15.86</v>
      </c>
      <c r="I207" s="66">
        <f t="shared" si="32"/>
        <v>20.18</v>
      </c>
      <c r="J207" s="66">
        <f t="shared" si="33"/>
        <v>40.36</v>
      </c>
    </row>
    <row r="208" spans="2:10" ht="20.149999999999999" customHeight="1">
      <c r="B208" s="87"/>
      <c r="C208" s="87"/>
      <c r="D208" s="87"/>
      <c r="G208" s="88"/>
      <c r="H208" s="89"/>
      <c r="I208" s="89"/>
      <c r="J208" s="89"/>
    </row>
    <row r="209" spans="2:10" ht="20.149999999999999" customHeight="1">
      <c r="B209" s="12">
        <v>17</v>
      </c>
      <c r="C209" s="5"/>
      <c r="D209" s="5"/>
      <c r="E209" s="6" t="s">
        <v>288</v>
      </c>
      <c r="F209" s="6"/>
      <c r="G209" s="19"/>
      <c r="H209" s="37"/>
      <c r="I209" s="37"/>
      <c r="J209" s="31">
        <f>SUM(J210:J251)</f>
        <v>36410.800000000003</v>
      </c>
    </row>
    <row r="210" spans="2:10" ht="20.149999999999999" customHeight="1" outlineLevel="1">
      <c r="B210" s="11" t="s">
        <v>78</v>
      </c>
      <c r="C210" s="15"/>
      <c r="D210" s="15"/>
      <c r="E210" s="108" t="s">
        <v>242</v>
      </c>
      <c r="F210" s="16"/>
      <c r="G210" s="20"/>
      <c r="H210" s="39"/>
      <c r="I210" s="66"/>
      <c r="J210" s="66"/>
    </row>
    <row r="211" spans="2:10" outlineLevel="1">
      <c r="B211" s="49" t="s">
        <v>165</v>
      </c>
      <c r="C211" s="49">
        <v>101875</v>
      </c>
      <c r="D211" s="49" t="s">
        <v>41</v>
      </c>
      <c r="E211" s="82" t="s">
        <v>421</v>
      </c>
      <c r="F211" s="98" t="s">
        <v>317</v>
      </c>
      <c r="G211" s="83">
        <v>1</v>
      </c>
      <c r="H211" s="83">
        <v>384.4</v>
      </c>
      <c r="I211" s="66">
        <f t="shared" ref="I211:I218" si="34">ROUND(H211*$J$6,2)+H211</f>
        <v>489</v>
      </c>
      <c r="J211" s="66">
        <f t="shared" ref="J211:J251" si="35">ROUND(G211*I211,2)</f>
        <v>489</v>
      </c>
    </row>
    <row r="212" spans="2:10" outlineLevel="1">
      <c r="B212" s="49" t="s">
        <v>166</v>
      </c>
      <c r="C212" s="49">
        <v>101879</v>
      </c>
      <c r="D212" s="49" t="s">
        <v>41</v>
      </c>
      <c r="E212" s="82" t="s">
        <v>422</v>
      </c>
      <c r="F212" s="98" t="s">
        <v>317</v>
      </c>
      <c r="G212" s="83">
        <v>1</v>
      </c>
      <c r="H212" s="83">
        <v>553.63</v>
      </c>
      <c r="I212" s="66">
        <f t="shared" si="34"/>
        <v>704.27</v>
      </c>
      <c r="J212" s="66">
        <f t="shared" si="35"/>
        <v>704.27</v>
      </c>
    </row>
    <row r="213" spans="2:10" ht="20.149999999999999" customHeight="1" outlineLevel="1">
      <c r="B213" s="49" t="s">
        <v>167</v>
      </c>
      <c r="C213" s="49">
        <v>93653</v>
      </c>
      <c r="D213" s="49" t="s">
        <v>41</v>
      </c>
      <c r="E213" s="82" t="s">
        <v>423</v>
      </c>
      <c r="F213" s="98" t="s">
        <v>317</v>
      </c>
      <c r="G213" s="83">
        <v>7</v>
      </c>
      <c r="H213" s="83">
        <v>10.64</v>
      </c>
      <c r="I213" s="66">
        <f t="shared" si="34"/>
        <v>13.540000000000001</v>
      </c>
      <c r="J213" s="66">
        <f t="shared" si="35"/>
        <v>94.78</v>
      </c>
    </row>
    <row r="214" spans="2:10" ht="20.149999999999999" customHeight="1" outlineLevel="1">
      <c r="B214" s="49" t="s">
        <v>168</v>
      </c>
      <c r="C214" s="49">
        <v>93655</v>
      </c>
      <c r="D214" s="49" t="s">
        <v>41</v>
      </c>
      <c r="E214" s="82" t="s">
        <v>424</v>
      </c>
      <c r="F214" s="98" t="s">
        <v>317</v>
      </c>
      <c r="G214" s="83">
        <v>5</v>
      </c>
      <c r="H214" s="83">
        <v>12.83</v>
      </c>
      <c r="I214" s="66">
        <f t="shared" si="34"/>
        <v>16.32</v>
      </c>
      <c r="J214" s="66">
        <f t="shared" si="35"/>
        <v>81.599999999999994</v>
      </c>
    </row>
    <row r="215" spans="2:10" ht="20.149999999999999" customHeight="1" outlineLevel="1">
      <c r="B215" s="49" t="s">
        <v>169</v>
      </c>
      <c r="C215" s="49">
        <v>93656</v>
      </c>
      <c r="D215" s="49" t="s">
        <v>41</v>
      </c>
      <c r="E215" s="82" t="s">
        <v>425</v>
      </c>
      <c r="F215" s="98" t="s">
        <v>317</v>
      </c>
      <c r="G215" s="83">
        <v>8</v>
      </c>
      <c r="H215" s="83">
        <v>12.83</v>
      </c>
      <c r="I215" s="66">
        <f t="shared" si="34"/>
        <v>16.32</v>
      </c>
      <c r="J215" s="66">
        <f t="shared" si="35"/>
        <v>130.56</v>
      </c>
    </row>
    <row r="216" spans="2:10" ht="20.149999999999999" customHeight="1" outlineLevel="1">
      <c r="B216" s="49" t="s">
        <v>170</v>
      </c>
      <c r="C216" s="49">
        <v>101894</v>
      </c>
      <c r="D216" s="49" t="s">
        <v>41</v>
      </c>
      <c r="E216" s="82" t="s">
        <v>426</v>
      </c>
      <c r="F216" s="98" t="s">
        <v>317</v>
      </c>
      <c r="G216" s="83">
        <v>2</v>
      </c>
      <c r="H216" s="83">
        <v>147.38</v>
      </c>
      <c r="I216" s="66">
        <f t="shared" si="34"/>
        <v>187.48</v>
      </c>
      <c r="J216" s="66">
        <f t="shared" si="35"/>
        <v>374.96</v>
      </c>
    </row>
    <row r="217" spans="2:10" ht="20.149999999999999" customHeight="1" outlineLevel="1">
      <c r="B217" s="49" t="s">
        <v>171</v>
      </c>
      <c r="C217" s="49">
        <v>101895</v>
      </c>
      <c r="D217" s="49" t="s">
        <v>41</v>
      </c>
      <c r="E217" s="82" t="s">
        <v>427</v>
      </c>
      <c r="F217" s="98" t="s">
        <v>317</v>
      </c>
      <c r="G217" s="83">
        <v>1</v>
      </c>
      <c r="H217" s="83">
        <v>561.08000000000004</v>
      </c>
      <c r="I217" s="66">
        <f t="shared" si="34"/>
        <v>713.75</v>
      </c>
      <c r="J217" s="66">
        <f t="shared" si="35"/>
        <v>713.75</v>
      </c>
    </row>
    <row r="218" spans="2:10" ht="25" outlineLevel="1">
      <c r="B218" s="49" t="s">
        <v>172</v>
      </c>
      <c r="C218" s="48"/>
      <c r="D218" s="49" t="s">
        <v>46</v>
      </c>
      <c r="E218" s="82" t="s">
        <v>428</v>
      </c>
      <c r="F218" s="98" t="s">
        <v>317</v>
      </c>
      <c r="G218" s="83">
        <v>4</v>
      </c>
      <c r="H218" s="83">
        <v>269.2</v>
      </c>
      <c r="I218" s="66">
        <f t="shared" si="34"/>
        <v>342.45</v>
      </c>
      <c r="J218" s="66">
        <f t="shared" si="35"/>
        <v>1369.8</v>
      </c>
    </row>
    <row r="219" spans="2:10" ht="20.149999999999999" customHeight="1" outlineLevel="1">
      <c r="B219" s="11" t="s">
        <v>79</v>
      </c>
      <c r="C219" s="17"/>
      <c r="D219" s="17"/>
      <c r="E219" s="14" t="s">
        <v>67</v>
      </c>
      <c r="F219" s="86"/>
      <c r="G219" s="83"/>
      <c r="H219" s="83"/>
      <c r="I219" s="66"/>
      <c r="J219" s="66"/>
    </row>
    <row r="220" spans="2:10" outlineLevel="1">
      <c r="B220" s="42" t="s">
        <v>173</v>
      </c>
      <c r="C220" s="109">
        <v>91854</v>
      </c>
      <c r="D220" s="109" t="s">
        <v>41</v>
      </c>
      <c r="E220" s="82" t="s">
        <v>429</v>
      </c>
      <c r="F220" s="109" t="s">
        <v>318</v>
      </c>
      <c r="G220" s="83">
        <v>28</v>
      </c>
      <c r="H220" s="83">
        <v>10.79</v>
      </c>
      <c r="I220" s="66">
        <f t="shared" ref="I220:I240" si="36">ROUND(H220*$J$6,2)+H220</f>
        <v>13.729999999999999</v>
      </c>
      <c r="J220" s="66">
        <f t="shared" si="35"/>
        <v>384.44</v>
      </c>
    </row>
    <row r="221" spans="2:10" outlineLevel="1">
      <c r="B221" s="42" t="s">
        <v>174</v>
      </c>
      <c r="C221" s="109">
        <v>91856</v>
      </c>
      <c r="D221" s="109" t="s">
        <v>41</v>
      </c>
      <c r="E221" s="82" t="s">
        <v>430</v>
      </c>
      <c r="F221" s="109" t="s">
        <v>318</v>
      </c>
      <c r="G221" s="83">
        <v>18</v>
      </c>
      <c r="H221" s="83">
        <v>13.62</v>
      </c>
      <c r="I221" s="66">
        <f t="shared" si="36"/>
        <v>17.329999999999998</v>
      </c>
      <c r="J221" s="66">
        <f t="shared" si="35"/>
        <v>311.94</v>
      </c>
    </row>
    <row r="222" spans="2:10" ht="20.149999999999999" customHeight="1" outlineLevel="1">
      <c r="B222" s="42" t="s">
        <v>175</v>
      </c>
      <c r="C222" s="109">
        <v>91873</v>
      </c>
      <c r="D222" s="109" t="s">
        <v>41</v>
      </c>
      <c r="E222" s="82" t="s">
        <v>431</v>
      </c>
      <c r="F222" s="109" t="s">
        <v>318</v>
      </c>
      <c r="G222" s="83">
        <v>18</v>
      </c>
      <c r="H222" s="83">
        <v>23.95</v>
      </c>
      <c r="I222" s="66">
        <f t="shared" si="36"/>
        <v>30.47</v>
      </c>
      <c r="J222" s="66">
        <f t="shared" si="35"/>
        <v>548.46</v>
      </c>
    </row>
    <row r="223" spans="2:10" ht="25" outlineLevel="1">
      <c r="B223" s="42" t="s">
        <v>176</v>
      </c>
      <c r="C223" s="109" t="s">
        <v>503</v>
      </c>
      <c r="D223" s="109" t="s">
        <v>469</v>
      </c>
      <c r="E223" s="82" t="s">
        <v>502</v>
      </c>
      <c r="F223" s="109" t="s">
        <v>318</v>
      </c>
      <c r="G223" s="83">
        <v>82</v>
      </c>
      <c r="H223" s="83">
        <v>27.94</v>
      </c>
      <c r="I223" s="66">
        <f t="shared" si="36"/>
        <v>35.54</v>
      </c>
      <c r="J223" s="66">
        <f t="shared" si="35"/>
        <v>2914.28</v>
      </c>
    </row>
    <row r="224" spans="2:10" ht="25" outlineLevel="1">
      <c r="B224" s="42" t="s">
        <v>177</v>
      </c>
      <c r="C224" s="42" t="s">
        <v>505</v>
      </c>
      <c r="D224" s="109" t="s">
        <v>469</v>
      </c>
      <c r="E224" s="82" t="s">
        <v>504</v>
      </c>
      <c r="F224" s="109" t="s">
        <v>318</v>
      </c>
      <c r="G224" s="83">
        <v>13</v>
      </c>
      <c r="H224" s="83">
        <v>42.74</v>
      </c>
      <c r="I224" s="66">
        <f t="shared" si="36"/>
        <v>54.370000000000005</v>
      </c>
      <c r="J224" s="66">
        <f t="shared" si="35"/>
        <v>706.81</v>
      </c>
    </row>
    <row r="225" spans="2:10" ht="25" outlineLevel="1">
      <c r="B225" s="42" t="s">
        <v>178</v>
      </c>
      <c r="C225" s="42" t="s">
        <v>507</v>
      </c>
      <c r="D225" s="109" t="s">
        <v>469</v>
      </c>
      <c r="E225" s="82" t="s">
        <v>506</v>
      </c>
      <c r="F225" s="109" t="s">
        <v>318</v>
      </c>
      <c r="G225" s="83">
        <v>30</v>
      </c>
      <c r="H225" s="83">
        <v>48.43</v>
      </c>
      <c r="I225" s="66">
        <f t="shared" si="36"/>
        <v>61.61</v>
      </c>
      <c r="J225" s="66">
        <f t="shared" si="35"/>
        <v>1848.3</v>
      </c>
    </row>
    <row r="226" spans="2:10" ht="20.149999999999999" customHeight="1" outlineLevel="1">
      <c r="B226" s="42" t="s">
        <v>179</v>
      </c>
      <c r="C226" s="42">
        <v>95795</v>
      </c>
      <c r="D226" s="42" t="s">
        <v>41</v>
      </c>
      <c r="E226" s="82" t="s">
        <v>432</v>
      </c>
      <c r="F226" s="98" t="s">
        <v>317</v>
      </c>
      <c r="G226" s="83">
        <v>5</v>
      </c>
      <c r="H226" s="83">
        <v>35.65</v>
      </c>
      <c r="I226" s="66">
        <f t="shared" si="36"/>
        <v>45.349999999999994</v>
      </c>
      <c r="J226" s="66">
        <f t="shared" si="35"/>
        <v>226.75</v>
      </c>
    </row>
    <row r="227" spans="2:10" ht="20.149999999999999" customHeight="1" outlineLevel="1">
      <c r="B227" s="42" t="s">
        <v>180</v>
      </c>
      <c r="C227" s="42">
        <v>95808</v>
      </c>
      <c r="D227" s="42" t="s">
        <v>41</v>
      </c>
      <c r="E227" s="82" t="s">
        <v>433</v>
      </c>
      <c r="F227" s="98" t="s">
        <v>317</v>
      </c>
      <c r="G227" s="83">
        <v>5</v>
      </c>
      <c r="H227" s="83">
        <v>36.53</v>
      </c>
      <c r="I227" s="66">
        <f t="shared" si="36"/>
        <v>46.47</v>
      </c>
      <c r="J227" s="66">
        <f t="shared" si="35"/>
        <v>232.35</v>
      </c>
    </row>
    <row r="228" spans="2:10" ht="20.149999999999999" customHeight="1" outlineLevel="1">
      <c r="B228" s="42" t="s">
        <v>181</v>
      </c>
      <c r="C228" s="42">
        <v>95789</v>
      </c>
      <c r="D228" s="42" t="s">
        <v>41</v>
      </c>
      <c r="E228" s="82" t="s">
        <v>434</v>
      </c>
      <c r="F228" s="98" t="s">
        <v>317</v>
      </c>
      <c r="G228" s="83">
        <v>4</v>
      </c>
      <c r="H228" s="83">
        <v>42.46</v>
      </c>
      <c r="I228" s="66">
        <f t="shared" si="36"/>
        <v>54.010000000000005</v>
      </c>
      <c r="J228" s="66">
        <f t="shared" si="35"/>
        <v>216.04</v>
      </c>
    </row>
    <row r="229" spans="2:10" ht="20.149999999999999" customHeight="1" outlineLevel="1">
      <c r="B229" s="42" t="s">
        <v>182</v>
      </c>
      <c r="C229" s="42" t="s">
        <v>508</v>
      </c>
      <c r="D229" s="42" t="s">
        <v>469</v>
      </c>
      <c r="E229" s="82" t="s">
        <v>435</v>
      </c>
      <c r="F229" s="98" t="s">
        <v>317</v>
      </c>
      <c r="G229" s="83">
        <v>1</v>
      </c>
      <c r="H229" s="83">
        <v>34.67</v>
      </c>
      <c r="I229" s="66">
        <f t="shared" si="36"/>
        <v>44.1</v>
      </c>
      <c r="J229" s="66">
        <f t="shared" si="35"/>
        <v>44.1</v>
      </c>
    </row>
    <row r="230" spans="2:10" ht="20.149999999999999" customHeight="1" outlineLevel="1">
      <c r="B230" s="42" t="s">
        <v>183</v>
      </c>
      <c r="C230" s="42"/>
      <c r="D230" s="42" t="s">
        <v>46</v>
      </c>
      <c r="E230" s="82" t="s">
        <v>436</v>
      </c>
      <c r="F230" s="98" t="s">
        <v>317</v>
      </c>
      <c r="G230" s="83">
        <v>50</v>
      </c>
      <c r="H230" s="83">
        <v>1.57</v>
      </c>
      <c r="I230" s="66">
        <f t="shared" si="36"/>
        <v>2</v>
      </c>
      <c r="J230" s="66">
        <f t="shared" si="35"/>
        <v>100</v>
      </c>
    </row>
    <row r="231" spans="2:10" ht="20.149999999999999" customHeight="1" outlineLevel="1">
      <c r="B231" s="42" t="s">
        <v>184</v>
      </c>
      <c r="C231" s="42"/>
      <c r="D231" s="42" t="s">
        <v>46</v>
      </c>
      <c r="E231" s="82" t="s">
        <v>437</v>
      </c>
      <c r="F231" s="98" t="s">
        <v>317</v>
      </c>
      <c r="G231" s="83">
        <v>4</v>
      </c>
      <c r="H231" s="83">
        <v>1.86</v>
      </c>
      <c r="I231" s="66">
        <f t="shared" si="36"/>
        <v>2.37</v>
      </c>
      <c r="J231" s="66">
        <f t="shared" si="35"/>
        <v>9.48</v>
      </c>
    </row>
    <row r="232" spans="2:10" ht="20.149999999999999" customHeight="1" outlineLevel="1">
      <c r="B232" s="42" t="s">
        <v>185</v>
      </c>
      <c r="C232" s="42"/>
      <c r="D232" s="42" t="s">
        <v>46</v>
      </c>
      <c r="E232" s="82" t="s">
        <v>438</v>
      </c>
      <c r="F232" s="98" t="s">
        <v>317</v>
      </c>
      <c r="G232" s="83">
        <v>4</v>
      </c>
      <c r="H232" s="83">
        <v>4.3600000000000003</v>
      </c>
      <c r="I232" s="66">
        <f t="shared" si="36"/>
        <v>5.5500000000000007</v>
      </c>
      <c r="J232" s="66">
        <f t="shared" si="35"/>
        <v>22.2</v>
      </c>
    </row>
    <row r="233" spans="2:10" ht="19.5" customHeight="1" outlineLevel="1">
      <c r="B233" s="42" t="s">
        <v>186</v>
      </c>
      <c r="C233" s="42"/>
      <c r="D233" s="42" t="s">
        <v>46</v>
      </c>
      <c r="E233" s="82" t="s">
        <v>439</v>
      </c>
      <c r="F233" s="42" t="s">
        <v>497</v>
      </c>
      <c r="G233" s="83">
        <v>15</v>
      </c>
      <c r="H233" s="83">
        <v>7.28</v>
      </c>
      <c r="I233" s="66">
        <f t="shared" si="36"/>
        <v>9.26</v>
      </c>
      <c r="J233" s="66">
        <f t="shared" si="35"/>
        <v>138.9</v>
      </c>
    </row>
    <row r="234" spans="2:10" ht="20.149999999999999" customHeight="1" outlineLevel="1">
      <c r="B234" s="42" t="s">
        <v>187</v>
      </c>
      <c r="C234" s="42"/>
      <c r="D234" s="42" t="s">
        <v>46</v>
      </c>
      <c r="E234" s="82" t="s">
        <v>440</v>
      </c>
      <c r="F234" s="42" t="s">
        <v>497</v>
      </c>
      <c r="G234" s="83">
        <v>2</v>
      </c>
      <c r="H234" s="83">
        <v>6.72</v>
      </c>
      <c r="I234" s="66">
        <f t="shared" si="36"/>
        <v>8.5500000000000007</v>
      </c>
      <c r="J234" s="66">
        <f t="shared" si="35"/>
        <v>17.100000000000001</v>
      </c>
    </row>
    <row r="235" spans="2:10" ht="20.149999999999999" customHeight="1" outlineLevel="1">
      <c r="B235" s="42" t="s">
        <v>188</v>
      </c>
      <c r="C235" s="42"/>
      <c r="D235" s="42" t="s">
        <v>46</v>
      </c>
      <c r="E235" s="82" t="s">
        <v>441</v>
      </c>
      <c r="F235" s="42" t="s">
        <v>497</v>
      </c>
      <c r="G235" s="83">
        <v>1</v>
      </c>
      <c r="H235" s="83">
        <v>12.6</v>
      </c>
      <c r="I235" s="66">
        <f t="shared" si="36"/>
        <v>16.03</v>
      </c>
      <c r="J235" s="66">
        <f t="shared" si="35"/>
        <v>16.03</v>
      </c>
    </row>
    <row r="236" spans="2:10" ht="20.149999999999999" customHeight="1" outlineLevel="1">
      <c r="B236" s="42" t="s">
        <v>189</v>
      </c>
      <c r="C236" s="42">
        <v>92695</v>
      </c>
      <c r="D236" s="42" t="s">
        <v>41</v>
      </c>
      <c r="E236" s="82" t="s">
        <v>442</v>
      </c>
      <c r="F236" s="98" t="s">
        <v>317</v>
      </c>
      <c r="G236" s="83">
        <v>15</v>
      </c>
      <c r="H236" s="83">
        <v>26.88</v>
      </c>
      <c r="I236" s="66">
        <f t="shared" si="36"/>
        <v>34.19</v>
      </c>
      <c r="J236" s="66">
        <f t="shared" si="35"/>
        <v>512.85</v>
      </c>
    </row>
    <row r="237" spans="2:10" ht="20.149999999999999" customHeight="1" outlineLevel="1">
      <c r="B237" s="42" t="s">
        <v>190</v>
      </c>
      <c r="C237" s="42">
        <v>92697</v>
      </c>
      <c r="D237" s="42" t="s">
        <v>41</v>
      </c>
      <c r="E237" s="82" t="s">
        <v>443</v>
      </c>
      <c r="F237" s="98" t="s">
        <v>317</v>
      </c>
      <c r="G237" s="83">
        <v>2</v>
      </c>
      <c r="H237" s="83">
        <v>43.51</v>
      </c>
      <c r="I237" s="66">
        <f t="shared" si="36"/>
        <v>55.349999999999994</v>
      </c>
      <c r="J237" s="66">
        <f t="shared" si="35"/>
        <v>110.7</v>
      </c>
    </row>
    <row r="238" spans="2:10" ht="20.149999999999999" customHeight="1" outlineLevel="1">
      <c r="B238" s="42" t="s">
        <v>191</v>
      </c>
      <c r="C238" s="42">
        <v>92662</v>
      </c>
      <c r="D238" s="42" t="s">
        <v>41</v>
      </c>
      <c r="E238" s="82" t="s">
        <v>444</v>
      </c>
      <c r="F238" s="98" t="s">
        <v>317</v>
      </c>
      <c r="G238" s="83">
        <v>1</v>
      </c>
      <c r="H238" s="83">
        <v>45.82</v>
      </c>
      <c r="I238" s="66">
        <f t="shared" si="36"/>
        <v>58.29</v>
      </c>
      <c r="J238" s="66">
        <f t="shared" si="35"/>
        <v>58.29</v>
      </c>
    </row>
    <row r="239" spans="2:10" ht="20.149999999999999" customHeight="1" outlineLevel="1">
      <c r="B239" s="42" t="s">
        <v>192</v>
      </c>
      <c r="C239" s="42">
        <v>92868</v>
      </c>
      <c r="D239" s="42" t="s">
        <v>41</v>
      </c>
      <c r="E239" s="82" t="s">
        <v>445</v>
      </c>
      <c r="F239" s="98" t="s">
        <v>317</v>
      </c>
      <c r="G239" s="83">
        <v>16</v>
      </c>
      <c r="H239" s="83">
        <v>19.63</v>
      </c>
      <c r="I239" s="66">
        <f t="shared" si="36"/>
        <v>24.97</v>
      </c>
      <c r="J239" s="66">
        <f t="shared" si="35"/>
        <v>399.52</v>
      </c>
    </row>
    <row r="240" spans="2:10" outlineLevel="1">
      <c r="B240" s="42" t="s">
        <v>193</v>
      </c>
      <c r="C240" s="42">
        <v>92865</v>
      </c>
      <c r="D240" s="42" t="s">
        <v>41</v>
      </c>
      <c r="E240" s="82" t="s">
        <v>446</v>
      </c>
      <c r="F240" s="98" t="s">
        <v>317</v>
      </c>
      <c r="G240" s="83">
        <v>7</v>
      </c>
      <c r="H240" s="83">
        <v>16.64</v>
      </c>
      <c r="I240" s="66">
        <f t="shared" si="36"/>
        <v>21.17</v>
      </c>
      <c r="J240" s="66">
        <f t="shared" si="35"/>
        <v>148.19</v>
      </c>
    </row>
    <row r="241" spans="2:10" ht="20.149999999999999" customHeight="1" outlineLevel="1">
      <c r="B241" s="11" t="s">
        <v>80</v>
      </c>
      <c r="C241" s="17"/>
      <c r="D241" s="17"/>
      <c r="E241" s="14" t="s">
        <v>236</v>
      </c>
      <c r="F241" s="109"/>
      <c r="G241" s="83"/>
      <c r="H241" s="83"/>
      <c r="I241" s="66"/>
      <c r="J241" s="66"/>
    </row>
    <row r="242" spans="2:10" ht="19.5" customHeight="1" outlineLevel="1">
      <c r="B242" s="42" t="s">
        <v>194</v>
      </c>
      <c r="C242" s="109">
        <v>91926</v>
      </c>
      <c r="D242" s="42" t="s">
        <v>41</v>
      </c>
      <c r="E242" s="82" t="s">
        <v>447</v>
      </c>
      <c r="F242" s="109" t="s">
        <v>318</v>
      </c>
      <c r="G242" s="83">
        <v>190</v>
      </c>
      <c r="H242" s="83">
        <v>4.3600000000000003</v>
      </c>
      <c r="I242" s="66">
        <f>ROUND(H242*$J$6,2)+H242</f>
        <v>5.5500000000000007</v>
      </c>
      <c r="J242" s="66">
        <f t="shared" si="35"/>
        <v>1054.5</v>
      </c>
    </row>
    <row r="243" spans="2:10" ht="19.5" customHeight="1" outlineLevel="1">
      <c r="B243" s="42" t="s">
        <v>195</v>
      </c>
      <c r="C243" s="109">
        <v>91928</v>
      </c>
      <c r="D243" s="109" t="s">
        <v>41</v>
      </c>
      <c r="E243" s="82" t="s">
        <v>448</v>
      </c>
      <c r="F243" s="109" t="s">
        <v>318</v>
      </c>
      <c r="G243" s="83">
        <v>820</v>
      </c>
      <c r="H243" s="83">
        <v>6.63</v>
      </c>
      <c r="I243" s="66">
        <f>ROUND(H243*$J$6,2)+H243</f>
        <v>8.43</v>
      </c>
      <c r="J243" s="66">
        <f t="shared" si="35"/>
        <v>6912.6</v>
      </c>
    </row>
    <row r="244" spans="2:10" ht="19.5" customHeight="1" outlineLevel="1">
      <c r="B244" s="42" t="s">
        <v>196</v>
      </c>
      <c r="C244" s="109">
        <v>91934</v>
      </c>
      <c r="D244" s="109" t="s">
        <v>41</v>
      </c>
      <c r="E244" s="82" t="s">
        <v>449</v>
      </c>
      <c r="F244" s="109" t="s">
        <v>318</v>
      </c>
      <c r="G244" s="83">
        <v>14</v>
      </c>
      <c r="H244" s="83">
        <v>23.45</v>
      </c>
      <c r="I244" s="66">
        <f>ROUND(H244*$J$6,2)+H244</f>
        <v>29.83</v>
      </c>
      <c r="J244" s="66">
        <f t="shared" si="35"/>
        <v>417.62</v>
      </c>
    </row>
    <row r="245" spans="2:10" ht="19.5" customHeight="1" outlineLevel="1">
      <c r="B245" s="42" t="s">
        <v>197</v>
      </c>
      <c r="C245" s="109">
        <v>92986</v>
      </c>
      <c r="D245" s="109" t="s">
        <v>41</v>
      </c>
      <c r="E245" s="82" t="s">
        <v>450</v>
      </c>
      <c r="F245" s="109" t="s">
        <v>318</v>
      </c>
      <c r="G245" s="83">
        <v>41</v>
      </c>
      <c r="H245" s="83">
        <v>35.630000000000003</v>
      </c>
      <c r="I245" s="66">
        <f>ROUND(H245*$J$6,2)+H245</f>
        <v>45.32</v>
      </c>
      <c r="J245" s="66">
        <f t="shared" si="35"/>
        <v>1858.12</v>
      </c>
    </row>
    <row r="246" spans="2:10" ht="20.149999999999999" customHeight="1" outlineLevel="1">
      <c r="B246" s="11" t="s">
        <v>81</v>
      </c>
      <c r="C246" s="17"/>
      <c r="D246" s="17"/>
      <c r="E246" s="14" t="s">
        <v>237</v>
      </c>
      <c r="F246" s="109"/>
      <c r="G246" s="83"/>
      <c r="H246" s="83"/>
      <c r="I246" s="66"/>
      <c r="J246" s="66"/>
    </row>
    <row r="247" spans="2:10" ht="20.149999999999999" customHeight="1" outlineLevel="1">
      <c r="B247" s="42" t="s">
        <v>198</v>
      </c>
      <c r="C247" s="109">
        <v>92000</v>
      </c>
      <c r="D247" s="109" t="s">
        <v>41</v>
      </c>
      <c r="E247" s="82" t="s">
        <v>451</v>
      </c>
      <c r="F247" s="98" t="s">
        <v>317</v>
      </c>
      <c r="G247" s="83">
        <v>4</v>
      </c>
      <c r="H247" s="83">
        <v>34.340000000000003</v>
      </c>
      <c r="I247" s="66">
        <f>ROUND(H247*$J$6,2)+H247</f>
        <v>43.680000000000007</v>
      </c>
      <c r="J247" s="66">
        <f t="shared" si="35"/>
        <v>174.72</v>
      </c>
    </row>
    <row r="248" spans="2:10" ht="20.149999999999999" customHeight="1" outlineLevel="1">
      <c r="B248" s="42" t="s">
        <v>199</v>
      </c>
      <c r="C248" s="109">
        <v>92001</v>
      </c>
      <c r="D248" s="109" t="s">
        <v>41</v>
      </c>
      <c r="E248" s="82" t="s">
        <v>452</v>
      </c>
      <c r="F248" s="98" t="s">
        <v>317</v>
      </c>
      <c r="G248" s="83">
        <v>1</v>
      </c>
      <c r="H248" s="83">
        <v>36.49</v>
      </c>
      <c r="I248" s="66">
        <f>ROUND(H248*$J$6,2)+H248</f>
        <v>46.42</v>
      </c>
      <c r="J248" s="66">
        <f t="shared" si="35"/>
        <v>46.42</v>
      </c>
    </row>
    <row r="249" spans="2:10" ht="25" outlineLevel="1">
      <c r="B249" s="42" t="s">
        <v>200</v>
      </c>
      <c r="C249" s="42">
        <v>91953</v>
      </c>
      <c r="D249" s="109" t="s">
        <v>41</v>
      </c>
      <c r="E249" s="82" t="s">
        <v>453</v>
      </c>
      <c r="F249" s="98" t="s">
        <v>317</v>
      </c>
      <c r="G249" s="83">
        <v>7</v>
      </c>
      <c r="H249" s="83">
        <v>32.81</v>
      </c>
      <c r="I249" s="66">
        <f>ROUND(H249*$J$6,2)+H249</f>
        <v>41.74</v>
      </c>
      <c r="J249" s="66">
        <f t="shared" si="35"/>
        <v>292.18</v>
      </c>
    </row>
    <row r="250" spans="2:10" ht="25" outlineLevel="1">
      <c r="B250" s="42" t="s">
        <v>201</v>
      </c>
      <c r="C250" s="42">
        <v>103782</v>
      </c>
      <c r="D250" s="109" t="s">
        <v>41</v>
      </c>
      <c r="E250" s="82" t="s">
        <v>362</v>
      </c>
      <c r="F250" s="98" t="s">
        <v>317</v>
      </c>
      <c r="G250" s="83">
        <v>7</v>
      </c>
      <c r="H250" s="83">
        <v>36.92</v>
      </c>
      <c r="I250" s="66">
        <f>ROUND(H250*$J$6,2)+H250</f>
        <v>46.97</v>
      </c>
      <c r="J250" s="66">
        <f t="shared" si="35"/>
        <v>328.79</v>
      </c>
    </row>
    <row r="251" spans="2:10" ht="30" customHeight="1" outlineLevel="1">
      <c r="B251" s="42" t="s">
        <v>202</v>
      </c>
      <c r="C251" s="42">
        <v>101657</v>
      </c>
      <c r="D251" s="109" t="s">
        <v>41</v>
      </c>
      <c r="E251" s="82" t="s">
        <v>501</v>
      </c>
      <c r="F251" s="98" t="s">
        <v>317</v>
      </c>
      <c r="G251" s="83">
        <v>20</v>
      </c>
      <c r="H251" s="83">
        <v>487.4</v>
      </c>
      <c r="I251" s="66">
        <f>ROUND(H251*$J$6,2)+H251</f>
        <v>620.02</v>
      </c>
      <c r="J251" s="66">
        <f t="shared" si="35"/>
        <v>12400.4</v>
      </c>
    </row>
    <row r="252" spans="2:10" ht="20.149999999999999" customHeight="1">
      <c r="B252" s="2"/>
      <c r="C252" s="2"/>
      <c r="D252" s="2"/>
      <c r="E252" s="2"/>
      <c r="F252" s="2"/>
      <c r="G252" s="2"/>
      <c r="H252" s="38"/>
      <c r="I252" s="38"/>
      <c r="J252" s="32"/>
    </row>
    <row r="253" spans="2:10" ht="20.149999999999999" customHeight="1">
      <c r="B253" s="12">
        <v>18</v>
      </c>
      <c r="C253" s="5"/>
      <c r="D253" s="5"/>
      <c r="E253" s="6" t="s">
        <v>53</v>
      </c>
      <c r="F253" s="6"/>
      <c r="G253" s="19"/>
      <c r="H253" s="37"/>
      <c r="I253" s="37"/>
      <c r="J253" s="31">
        <f>SUM(J254:J261)</f>
        <v>20474.840000000004</v>
      </c>
    </row>
    <row r="254" spans="2:10" ht="30" customHeight="1" outlineLevel="1">
      <c r="B254" s="42" t="s">
        <v>76</v>
      </c>
      <c r="C254" s="46">
        <v>96986</v>
      </c>
      <c r="D254" s="46" t="s">
        <v>41</v>
      </c>
      <c r="E254" s="82" t="s">
        <v>454</v>
      </c>
      <c r="F254" s="98" t="s">
        <v>317</v>
      </c>
      <c r="G254" s="83">
        <v>7</v>
      </c>
      <c r="H254" s="83">
        <v>106.99</v>
      </c>
      <c r="I254" s="66">
        <f t="shared" ref="I254:I261" si="37">ROUND(H254*$J$6,2)+H254</f>
        <v>136.1</v>
      </c>
      <c r="J254" s="66">
        <f t="shared" ref="J254:J261" si="38">ROUND(G254*I254,2)</f>
        <v>952.7</v>
      </c>
    </row>
    <row r="255" spans="2:10" ht="19.5" customHeight="1" outlineLevel="1">
      <c r="B255" s="42" t="s">
        <v>82</v>
      </c>
      <c r="C255" s="46" t="s">
        <v>500</v>
      </c>
      <c r="D255" s="46" t="s">
        <v>469</v>
      </c>
      <c r="E255" s="82" t="s">
        <v>455</v>
      </c>
      <c r="F255" s="98" t="s">
        <v>317</v>
      </c>
      <c r="G255" s="83">
        <v>1</v>
      </c>
      <c r="H255" s="83">
        <v>205.59</v>
      </c>
      <c r="I255" s="66">
        <f t="shared" si="37"/>
        <v>261.52999999999997</v>
      </c>
      <c r="J255" s="66">
        <f t="shared" si="38"/>
        <v>261.52999999999997</v>
      </c>
    </row>
    <row r="256" spans="2:10" ht="20.149999999999999" customHeight="1" outlineLevel="1">
      <c r="B256" s="42" t="s">
        <v>83</v>
      </c>
      <c r="C256" s="46">
        <v>96973</v>
      </c>
      <c r="D256" s="46" t="s">
        <v>41</v>
      </c>
      <c r="E256" s="82" t="s">
        <v>456</v>
      </c>
      <c r="F256" s="50" t="s">
        <v>318</v>
      </c>
      <c r="G256" s="83">
        <v>39.200000000000003</v>
      </c>
      <c r="H256" s="83">
        <v>69.19</v>
      </c>
      <c r="I256" s="66">
        <f t="shared" si="37"/>
        <v>88.02</v>
      </c>
      <c r="J256" s="66">
        <f t="shared" si="38"/>
        <v>3450.38</v>
      </c>
    </row>
    <row r="257" spans="1:12" ht="20.149999999999999" customHeight="1" outlineLevel="1">
      <c r="B257" s="42" t="s">
        <v>88</v>
      </c>
      <c r="C257" s="46">
        <v>96974</v>
      </c>
      <c r="D257" s="48" t="s">
        <v>41</v>
      </c>
      <c r="E257" s="82" t="s">
        <v>457</v>
      </c>
      <c r="F257" s="50" t="s">
        <v>318</v>
      </c>
      <c r="G257" s="83">
        <v>126.32</v>
      </c>
      <c r="H257" s="83">
        <v>88.47</v>
      </c>
      <c r="I257" s="66">
        <f t="shared" si="37"/>
        <v>112.53999999999999</v>
      </c>
      <c r="J257" s="66">
        <f t="shared" si="38"/>
        <v>14216.05</v>
      </c>
    </row>
    <row r="258" spans="1:12" ht="20.149999999999999" customHeight="1" outlineLevel="1">
      <c r="B258" s="42" t="s">
        <v>89</v>
      </c>
      <c r="C258" s="47">
        <v>93008</v>
      </c>
      <c r="D258" s="45" t="s">
        <v>41</v>
      </c>
      <c r="E258" s="82" t="s">
        <v>458</v>
      </c>
      <c r="F258" s="50" t="s">
        <v>318</v>
      </c>
      <c r="G258" s="83">
        <v>21</v>
      </c>
      <c r="H258" s="83">
        <v>19.55</v>
      </c>
      <c r="I258" s="66">
        <f t="shared" si="37"/>
        <v>24.87</v>
      </c>
      <c r="J258" s="66">
        <f t="shared" si="38"/>
        <v>522.27</v>
      </c>
    </row>
    <row r="259" spans="1:12" ht="20.149999999999999" customHeight="1" outlineLevel="1">
      <c r="B259" s="42" t="s">
        <v>102</v>
      </c>
      <c r="C259" s="47"/>
      <c r="D259" s="45" t="s">
        <v>46</v>
      </c>
      <c r="E259" s="82" t="s">
        <v>459</v>
      </c>
      <c r="F259" s="98" t="s">
        <v>317</v>
      </c>
      <c r="G259" s="83">
        <v>7</v>
      </c>
      <c r="H259" s="83">
        <v>73.48</v>
      </c>
      <c r="I259" s="66">
        <f t="shared" si="37"/>
        <v>93.47</v>
      </c>
      <c r="J259" s="66">
        <f t="shared" si="38"/>
        <v>654.29</v>
      </c>
    </row>
    <row r="260" spans="1:12" ht="20.149999999999999" customHeight="1" outlineLevel="1">
      <c r="B260" s="42" t="s">
        <v>203</v>
      </c>
      <c r="C260" s="47"/>
      <c r="D260" s="45" t="s">
        <v>46</v>
      </c>
      <c r="E260" s="82" t="s">
        <v>460</v>
      </c>
      <c r="F260" s="98" t="s">
        <v>317</v>
      </c>
      <c r="G260" s="83">
        <v>7</v>
      </c>
      <c r="H260" s="83">
        <v>25.9</v>
      </c>
      <c r="I260" s="66">
        <f t="shared" si="37"/>
        <v>32.949999999999996</v>
      </c>
      <c r="J260" s="66">
        <f t="shared" si="38"/>
        <v>230.65</v>
      </c>
    </row>
    <row r="261" spans="1:12" ht="20.149999999999999" customHeight="1" outlineLevel="1">
      <c r="B261" s="42" t="s">
        <v>204</v>
      </c>
      <c r="C261" s="47"/>
      <c r="D261" s="45" t="s">
        <v>46</v>
      </c>
      <c r="E261" s="82" t="s">
        <v>461</v>
      </c>
      <c r="F261" s="98" t="s">
        <v>317</v>
      </c>
      <c r="G261" s="83">
        <v>7</v>
      </c>
      <c r="H261" s="83">
        <v>21</v>
      </c>
      <c r="I261" s="66">
        <f t="shared" si="37"/>
        <v>26.71</v>
      </c>
      <c r="J261" s="66">
        <f t="shared" si="38"/>
        <v>186.97</v>
      </c>
    </row>
    <row r="262" spans="1:12" ht="20.149999999999999" customHeight="1">
      <c r="B262" s="87"/>
      <c r="C262" s="87"/>
      <c r="D262" s="87"/>
      <c r="G262" s="88"/>
      <c r="H262" s="89"/>
      <c r="I262" s="89"/>
      <c r="J262" s="89"/>
    </row>
    <row r="263" spans="1:12" ht="20.149999999999999" customHeight="1">
      <c r="B263" s="12">
        <v>19</v>
      </c>
      <c r="C263" s="5"/>
      <c r="D263" s="5"/>
      <c r="E263" s="6" t="s">
        <v>59</v>
      </c>
      <c r="F263" s="6"/>
      <c r="G263" s="19"/>
      <c r="H263" s="37"/>
      <c r="I263" s="37"/>
      <c r="J263" s="31">
        <f>SUM(J264:J272)</f>
        <v>77668.23</v>
      </c>
    </row>
    <row r="264" spans="1:12" s="53" customFormat="1" ht="20.149999999999999" customHeight="1" outlineLevel="1">
      <c r="A264" s="55"/>
      <c r="B264" s="59" t="s">
        <v>77</v>
      </c>
      <c r="C264" s="59"/>
      <c r="D264" s="59"/>
      <c r="E264" s="60" t="s">
        <v>276</v>
      </c>
      <c r="F264" s="60"/>
      <c r="G264" s="61"/>
      <c r="H264" s="61"/>
      <c r="I264" s="62"/>
      <c r="J264" s="62"/>
      <c r="L264" s="58"/>
    </row>
    <row r="265" spans="1:12" ht="20.149999999999999" customHeight="1" outlineLevel="1">
      <c r="B265" s="49" t="s">
        <v>205</v>
      </c>
      <c r="C265" s="46" t="s">
        <v>490</v>
      </c>
      <c r="D265" s="47" t="s">
        <v>469</v>
      </c>
      <c r="E265" s="82" t="s">
        <v>489</v>
      </c>
      <c r="F265" s="45" t="s">
        <v>316</v>
      </c>
      <c r="G265" s="83">
        <f>'MEMÓRIA DE CÁLCULO'!J625</f>
        <v>2.5</v>
      </c>
      <c r="H265" s="83">
        <v>342.91</v>
      </c>
      <c r="I265" s="66">
        <f t="shared" ref="I265:I272" si="39">ROUND(H265*$J$6,2)+H265</f>
        <v>436.22</v>
      </c>
      <c r="J265" s="66">
        <f t="shared" ref="J265:J272" si="40">ROUND(G265*I265,2)</f>
        <v>1090.55</v>
      </c>
    </row>
    <row r="266" spans="1:12" ht="20.149999999999999" customHeight="1" outlineLevel="1">
      <c r="B266" s="49" t="s">
        <v>206</v>
      </c>
      <c r="C266" s="46" t="s">
        <v>491</v>
      </c>
      <c r="D266" s="47" t="s">
        <v>469</v>
      </c>
      <c r="E266" s="82" t="s">
        <v>492</v>
      </c>
      <c r="F266" s="98" t="s">
        <v>317</v>
      </c>
      <c r="G266" s="83">
        <f>'MEMÓRIA DE CÁLCULO'!J629</f>
        <v>2</v>
      </c>
      <c r="H266" s="83">
        <v>2672.15</v>
      </c>
      <c r="I266" s="66">
        <f t="shared" si="39"/>
        <v>3399.2400000000002</v>
      </c>
      <c r="J266" s="66">
        <f t="shared" si="40"/>
        <v>6798.48</v>
      </c>
    </row>
    <row r="267" spans="1:12" ht="20.149999999999999" customHeight="1" outlineLevel="1">
      <c r="B267" s="49" t="s">
        <v>207</v>
      </c>
      <c r="C267" s="46" t="s">
        <v>493</v>
      </c>
      <c r="D267" s="47" t="s">
        <v>469</v>
      </c>
      <c r="E267" s="82" t="s">
        <v>494</v>
      </c>
      <c r="F267" s="98" t="s">
        <v>317</v>
      </c>
      <c r="G267" s="83">
        <f>'MEMÓRIA DE CÁLCULO'!J633</f>
        <v>2</v>
      </c>
      <c r="H267" s="83">
        <v>3135.93</v>
      </c>
      <c r="I267" s="66">
        <f t="shared" si="39"/>
        <v>3989.22</v>
      </c>
      <c r="J267" s="66">
        <f t="shared" si="40"/>
        <v>7978.44</v>
      </c>
    </row>
    <row r="268" spans="1:12" ht="25" outlineLevel="1">
      <c r="B268" s="49" t="s">
        <v>208</v>
      </c>
      <c r="C268" s="46" t="s">
        <v>496</v>
      </c>
      <c r="D268" s="47" t="s">
        <v>469</v>
      </c>
      <c r="E268" s="82" t="s">
        <v>495</v>
      </c>
      <c r="F268" s="45" t="s">
        <v>497</v>
      </c>
      <c r="G268" s="83">
        <f>'MEMÓRIA DE CÁLCULO'!J637</f>
        <v>1</v>
      </c>
      <c r="H268" s="83">
        <v>664.45</v>
      </c>
      <c r="I268" s="66">
        <f t="shared" si="39"/>
        <v>845.25</v>
      </c>
      <c r="J268" s="66">
        <f t="shared" si="40"/>
        <v>845.25</v>
      </c>
    </row>
    <row r="269" spans="1:12" ht="37.5" outlineLevel="1">
      <c r="B269" s="49" t="s">
        <v>209</v>
      </c>
      <c r="C269" s="70" t="s">
        <v>499</v>
      </c>
      <c r="D269" s="47" t="s">
        <v>469</v>
      </c>
      <c r="E269" s="82" t="s">
        <v>498</v>
      </c>
      <c r="F269" s="85" t="s">
        <v>318</v>
      </c>
      <c r="G269" s="83">
        <f>'MEMÓRIA DE CÁLCULO'!J641</f>
        <v>3</v>
      </c>
      <c r="H269" s="83">
        <v>480.18</v>
      </c>
      <c r="I269" s="66">
        <f t="shared" si="39"/>
        <v>610.84</v>
      </c>
      <c r="J269" s="66">
        <f t="shared" si="40"/>
        <v>1832.52</v>
      </c>
    </row>
    <row r="270" spans="1:12" s="53" customFormat="1" ht="20.149999999999999" customHeight="1" outlineLevel="1">
      <c r="A270" s="55"/>
      <c r="B270" s="59" t="s">
        <v>98</v>
      </c>
      <c r="C270" s="47"/>
      <c r="D270" s="47"/>
      <c r="E270" s="110" t="s">
        <v>277</v>
      </c>
      <c r="F270" s="47"/>
      <c r="G270" s="61"/>
      <c r="H270" s="61"/>
      <c r="I270" s="66"/>
      <c r="J270" s="66"/>
      <c r="L270" s="58"/>
    </row>
    <row r="271" spans="1:12" ht="50" outlineLevel="1">
      <c r="B271" s="49" t="s">
        <v>210</v>
      </c>
      <c r="C271" s="70">
        <v>102363</v>
      </c>
      <c r="D271" s="70" t="s">
        <v>41</v>
      </c>
      <c r="E271" s="82" t="s">
        <v>360</v>
      </c>
      <c r="F271" s="45" t="s">
        <v>316</v>
      </c>
      <c r="G271" s="83">
        <f>'MEMÓRIA DE CÁLCULO'!J646</f>
        <v>234.63</v>
      </c>
      <c r="H271" s="83">
        <v>188.85</v>
      </c>
      <c r="I271" s="66">
        <f t="shared" si="39"/>
        <v>240.24</v>
      </c>
      <c r="J271" s="66">
        <f t="shared" si="40"/>
        <v>56367.51</v>
      </c>
    </row>
    <row r="272" spans="1:12" s="53" customFormat="1" ht="37.5" outlineLevel="1">
      <c r="A272" s="55"/>
      <c r="B272" s="49" t="s">
        <v>211</v>
      </c>
      <c r="C272" s="46" t="s">
        <v>487</v>
      </c>
      <c r="D272" s="47" t="s">
        <v>469</v>
      </c>
      <c r="E272" s="82" t="s">
        <v>488</v>
      </c>
      <c r="F272" s="45" t="s">
        <v>316</v>
      </c>
      <c r="G272" s="83">
        <f>'MEMÓRIA DE CÁLCULO'!J650</f>
        <v>4</v>
      </c>
      <c r="H272" s="83">
        <v>541.52</v>
      </c>
      <c r="I272" s="66">
        <f t="shared" si="39"/>
        <v>688.87</v>
      </c>
      <c r="J272" s="66">
        <f t="shared" si="40"/>
        <v>2755.48</v>
      </c>
      <c r="L272" s="58"/>
    </row>
    <row r="273" spans="1:12" ht="20.149999999999999" customHeight="1">
      <c r="B273" s="87"/>
      <c r="C273" s="87"/>
      <c r="D273" s="87"/>
      <c r="G273" s="88"/>
      <c r="H273" s="89"/>
      <c r="I273" s="89"/>
      <c r="J273" s="89"/>
    </row>
    <row r="274" spans="1:12" ht="20.149999999999999" customHeight="1">
      <c r="B274" s="12">
        <v>20</v>
      </c>
      <c r="C274" s="5"/>
      <c r="D274" s="5"/>
      <c r="E274" s="6" t="s">
        <v>54</v>
      </c>
      <c r="F274" s="6"/>
      <c r="G274" s="19"/>
      <c r="H274" s="37"/>
      <c r="I274" s="37"/>
      <c r="J274" s="31">
        <f>SUM(J275:J279)</f>
        <v>2338.5</v>
      </c>
    </row>
    <row r="275" spans="1:12" s="53" customFormat="1" ht="20.149999999999999" customHeight="1" outlineLevel="1">
      <c r="A275" s="55"/>
      <c r="B275" s="47" t="s">
        <v>99</v>
      </c>
      <c r="C275" s="111">
        <v>99806</v>
      </c>
      <c r="D275" s="47" t="s">
        <v>41</v>
      </c>
      <c r="E275" s="82" t="s">
        <v>462</v>
      </c>
      <c r="F275" s="47" t="s">
        <v>316</v>
      </c>
      <c r="G275" s="83">
        <f>'MEMÓRIA DE CÁLCULO'!J656</f>
        <v>329.93</v>
      </c>
      <c r="H275" s="83">
        <v>1.03</v>
      </c>
      <c r="I275" s="66">
        <f t="shared" ref="I275:I279" si="41">ROUND(H275*$J$6,2)+H275</f>
        <v>1.31</v>
      </c>
      <c r="J275" s="66">
        <f t="shared" ref="J275:J279" si="42">ROUND(G275*I275,2)</f>
        <v>432.21</v>
      </c>
      <c r="L275" s="58"/>
    </row>
    <row r="276" spans="1:12" s="53" customFormat="1" ht="20.149999999999999" customHeight="1" outlineLevel="1">
      <c r="A276" s="55"/>
      <c r="B276" s="47" t="s">
        <v>212</v>
      </c>
      <c r="C276" s="111">
        <v>99820</v>
      </c>
      <c r="D276" s="47" t="s">
        <v>41</v>
      </c>
      <c r="E276" s="82" t="s">
        <v>463</v>
      </c>
      <c r="F276" s="47" t="s">
        <v>316</v>
      </c>
      <c r="G276" s="83">
        <f>'MEMÓRIA DE CÁLCULO'!J660</f>
        <v>4.8</v>
      </c>
      <c r="H276" s="83">
        <v>2.2400000000000002</v>
      </c>
      <c r="I276" s="66">
        <f t="shared" si="41"/>
        <v>2.85</v>
      </c>
      <c r="J276" s="66">
        <f t="shared" si="42"/>
        <v>13.68</v>
      </c>
      <c r="L276" s="58"/>
    </row>
    <row r="277" spans="1:12" s="53" customFormat="1" ht="20.149999999999999" customHeight="1" outlineLevel="1">
      <c r="A277" s="55"/>
      <c r="B277" s="47" t="s">
        <v>213</v>
      </c>
      <c r="C277" s="111">
        <v>99803</v>
      </c>
      <c r="D277" s="47" t="s">
        <v>41</v>
      </c>
      <c r="E277" s="82" t="s">
        <v>464</v>
      </c>
      <c r="F277" s="47" t="s">
        <v>316</v>
      </c>
      <c r="G277" s="83">
        <f>'MEMÓRIA DE CÁLCULO'!J665</f>
        <v>55.2</v>
      </c>
      <c r="H277" s="83">
        <v>2.5099999999999998</v>
      </c>
      <c r="I277" s="66">
        <f t="shared" si="41"/>
        <v>3.19</v>
      </c>
      <c r="J277" s="66">
        <f t="shared" si="42"/>
        <v>176.09</v>
      </c>
      <c r="L277" s="58"/>
    </row>
    <row r="278" spans="1:12" ht="20.149999999999999" customHeight="1" outlineLevel="1">
      <c r="B278" s="47" t="s">
        <v>214</v>
      </c>
      <c r="C278" s="112">
        <v>99802</v>
      </c>
      <c r="D278" s="70" t="s">
        <v>41</v>
      </c>
      <c r="E278" s="82" t="s">
        <v>465</v>
      </c>
      <c r="F278" s="47" t="s">
        <v>316</v>
      </c>
      <c r="G278" s="83">
        <f>'MEMÓRIA DE CÁLCULO'!J669</f>
        <v>565</v>
      </c>
      <c r="H278" s="83">
        <v>0.64</v>
      </c>
      <c r="I278" s="66">
        <f t="shared" si="41"/>
        <v>0.81</v>
      </c>
      <c r="J278" s="66">
        <f t="shared" si="42"/>
        <v>457.65</v>
      </c>
    </row>
    <row r="279" spans="1:12" outlineLevel="1">
      <c r="B279" s="47" t="s">
        <v>215</v>
      </c>
      <c r="C279" s="47" t="s">
        <v>485</v>
      </c>
      <c r="D279" s="47" t="s">
        <v>469</v>
      </c>
      <c r="E279" s="82" t="s">
        <v>486</v>
      </c>
      <c r="F279" s="98" t="s">
        <v>317</v>
      </c>
      <c r="G279" s="83">
        <f>'MEMÓRIA DE CÁLCULO'!J673</f>
        <v>1</v>
      </c>
      <c r="H279" s="83">
        <v>989.6</v>
      </c>
      <c r="I279" s="66">
        <f t="shared" si="41"/>
        <v>1258.8699999999999</v>
      </c>
      <c r="J279" s="66">
        <f t="shared" si="42"/>
        <v>1258.8699999999999</v>
      </c>
    </row>
    <row r="280" spans="1:12" ht="20.149999999999999" customHeight="1">
      <c r="B280" s="106"/>
      <c r="C280" s="106"/>
      <c r="D280" s="106"/>
      <c r="E280" s="2"/>
      <c r="F280" s="113"/>
      <c r="G280" s="113"/>
      <c r="H280" s="114"/>
      <c r="I280" s="114"/>
      <c r="J280" s="33"/>
    </row>
    <row r="281" spans="1:12" ht="20.149999999999999" customHeight="1">
      <c r="B281" s="554" t="s">
        <v>287</v>
      </c>
      <c r="C281" s="555"/>
      <c r="D281" s="555"/>
      <c r="E281" s="555"/>
      <c r="F281" s="555"/>
      <c r="G281" s="555"/>
      <c r="H281" s="555"/>
      <c r="I281" s="556"/>
      <c r="J281" s="34">
        <f>J274+J263+J253+J209+J202+J188+J183+J160+J121+J109+J98+J93+J89+J83+J71+J66+J41+J28+J21+J10</f>
        <v>1041378.06</v>
      </c>
    </row>
    <row r="282" spans="1:12" ht="13">
      <c r="E282" s="21"/>
      <c r="G282" s="107"/>
      <c r="H282" s="89"/>
      <c r="I282" s="89"/>
      <c r="J282" s="33"/>
    </row>
    <row r="284" spans="1:12" ht="15.5">
      <c r="B284" s="543" t="s">
        <v>523</v>
      </c>
      <c r="C284" s="543"/>
      <c r="D284" s="543"/>
      <c r="E284" s="543"/>
    </row>
    <row r="285" spans="1:12">
      <c r="H285" s="536"/>
      <c r="I285" s="536"/>
      <c r="J285" s="536"/>
    </row>
    <row r="286" spans="1:12" ht="15.5">
      <c r="H286" s="549" t="s">
        <v>646</v>
      </c>
      <c r="I286" s="549"/>
      <c r="J286" s="549"/>
    </row>
    <row r="287" spans="1:12">
      <c r="H287" s="550" t="s">
        <v>647</v>
      </c>
      <c r="I287" s="550"/>
      <c r="J287" s="550"/>
    </row>
  </sheetData>
  <dataConsolidate/>
  <mergeCells count="10">
    <mergeCell ref="H286:J286"/>
    <mergeCell ref="H287:J287"/>
    <mergeCell ref="B284:E284"/>
    <mergeCell ref="B6:I6"/>
    <mergeCell ref="B3:C3"/>
    <mergeCell ref="B281:I281"/>
    <mergeCell ref="B4:C4"/>
    <mergeCell ref="D4:E4"/>
    <mergeCell ref="B5:C5"/>
    <mergeCell ref="D5:E5"/>
  </mergeCells>
  <phoneticPr fontId="13" type="noConversion"/>
  <conditionalFormatting sqref="G8:I8">
    <cfRule type="cellIs" dxfId="5" priority="1" stopIfTrue="1" operator="equal">
      <formula>0</formula>
    </cfRule>
  </conditionalFormatting>
  <conditionalFormatting sqref="G182:I182">
    <cfRule type="cellIs" dxfId="4" priority="331" stopIfTrue="1" operator="equal">
      <formula>0</formula>
    </cfRule>
  </conditionalFormatting>
  <printOptions horizontalCentered="1"/>
  <pageMargins left="0.19685039370078741" right="0.19685039370078741" top="0.55118110236220474" bottom="0.62992125984251968" header="0.39370078740157483" footer="0.27559055118110237"/>
  <pageSetup paperSize="9" scale="54" fitToHeight="0" orientation="portrait" r:id="rId1"/>
  <headerFooter alignWithMargins="0"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6:G28"/>
  <sheetViews>
    <sheetView workbookViewId="0">
      <selection activeCell="D42" sqref="D42"/>
    </sheetView>
  </sheetViews>
  <sheetFormatPr defaultRowHeight="12.5"/>
  <cols>
    <col min="3" max="3" width="12.1796875" customWidth="1"/>
    <col min="4" max="4" width="108" customWidth="1"/>
  </cols>
  <sheetData>
    <row r="6" spans="1:7">
      <c r="A6" s="49" t="s">
        <v>172</v>
      </c>
      <c r="B6" s="48"/>
      <c r="C6" s="49" t="s">
        <v>46</v>
      </c>
      <c r="D6" s="82" t="s">
        <v>428</v>
      </c>
      <c r="E6" s="45" t="s">
        <v>317</v>
      </c>
      <c r="F6" s="83">
        <v>4</v>
      </c>
      <c r="G6" s="83">
        <v>269.2</v>
      </c>
    </row>
    <row r="7" spans="1:7" ht="27" customHeight="1">
      <c r="B7" s="557" t="s">
        <v>515</v>
      </c>
      <c r="C7" s="558"/>
      <c r="D7" s="558"/>
    </row>
    <row r="10" spans="1:7">
      <c r="A10" s="42" t="s">
        <v>183</v>
      </c>
      <c r="B10" s="42"/>
      <c r="C10" s="42" t="s">
        <v>46</v>
      </c>
      <c r="D10" s="82" t="s">
        <v>436</v>
      </c>
      <c r="E10" s="45" t="s">
        <v>317</v>
      </c>
      <c r="F10" s="83">
        <v>50</v>
      </c>
      <c r="G10" s="83">
        <v>1.57</v>
      </c>
    </row>
    <row r="11" spans="1:7">
      <c r="A11" s="42" t="s">
        <v>184</v>
      </c>
      <c r="B11" s="42"/>
      <c r="C11" s="42" t="s">
        <v>46</v>
      </c>
      <c r="D11" s="82" t="s">
        <v>437</v>
      </c>
      <c r="E11" s="98" t="s">
        <v>317</v>
      </c>
      <c r="F11" s="83">
        <v>4</v>
      </c>
      <c r="G11" s="83">
        <v>1.86</v>
      </c>
    </row>
    <row r="12" spans="1:7">
      <c r="A12" s="42" t="s">
        <v>185</v>
      </c>
      <c r="B12" s="42"/>
      <c r="C12" s="42" t="s">
        <v>46</v>
      </c>
      <c r="D12" s="82" t="s">
        <v>438</v>
      </c>
      <c r="E12" s="98" t="s">
        <v>317</v>
      </c>
      <c r="F12" s="83">
        <v>4</v>
      </c>
      <c r="G12" s="83">
        <v>4.3600000000000003</v>
      </c>
    </row>
    <row r="13" spans="1:7">
      <c r="A13" s="42" t="s">
        <v>186</v>
      </c>
      <c r="B13" s="42"/>
      <c r="C13" s="42" t="s">
        <v>46</v>
      </c>
      <c r="D13" s="82" t="s">
        <v>439</v>
      </c>
      <c r="E13" s="42" t="s">
        <v>90</v>
      </c>
      <c r="F13" s="83">
        <v>15</v>
      </c>
      <c r="G13" s="83">
        <v>7.28</v>
      </c>
    </row>
    <row r="14" spans="1:7">
      <c r="A14" s="42" t="s">
        <v>187</v>
      </c>
      <c r="B14" s="42"/>
      <c r="C14" s="42" t="s">
        <v>46</v>
      </c>
      <c r="D14" s="82" t="s">
        <v>440</v>
      </c>
      <c r="E14" s="42" t="s">
        <v>90</v>
      </c>
      <c r="F14" s="83">
        <v>2</v>
      </c>
      <c r="G14" s="83">
        <v>6.72</v>
      </c>
    </row>
    <row r="15" spans="1:7">
      <c r="A15" s="42" t="s">
        <v>188</v>
      </c>
      <c r="B15" s="42"/>
      <c r="C15" s="42" t="s">
        <v>46</v>
      </c>
      <c r="D15" s="82" t="s">
        <v>441</v>
      </c>
      <c r="E15" s="42" t="s">
        <v>90</v>
      </c>
      <c r="F15" s="83">
        <v>1</v>
      </c>
      <c r="G15" s="83">
        <v>12.6</v>
      </c>
    </row>
    <row r="16" spans="1:7">
      <c r="B16" s="559" t="s">
        <v>516</v>
      </c>
      <c r="C16" s="560"/>
      <c r="D16" s="560"/>
    </row>
    <row r="19" spans="1:7">
      <c r="A19" s="42" t="s">
        <v>102</v>
      </c>
      <c r="B19" s="47"/>
      <c r="C19" s="45" t="s">
        <v>46</v>
      </c>
      <c r="D19" s="82" t="s">
        <v>459</v>
      </c>
      <c r="E19" s="45" t="s">
        <v>317</v>
      </c>
      <c r="F19" s="83">
        <v>7</v>
      </c>
      <c r="G19" s="83">
        <v>73.48</v>
      </c>
    </row>
    <row r="20" spans="1:7">
      <c r="B20" s="559" t="s">
        <v>517</v>
      </c>
      <c r="C20" s="559"/>
      <c r="D20" s="559"/>
    </row>
    <row r="23" spans="1:7">
      <c r="A23" s="42" t="s">
        <v>203</v>
      </c>
      <c r="B23" s="47"/>
      <c r="C23" s="45" t="s">
        <v>46</v>
      </c>
      <c r="D23" s="82" t="s">
        <v>460</v>
      </c>
      <c r="E23" s="45" t="s">
        <v>317</v>
      </c>
      <c r="F23" s="83">
        <v>7</v>
      </c>
      <c r="G23" s="83">
        <v>25.9</v>
      </c>
    </row>
    <row r="24" spans="1:7">
      <c r="B24" s="120" t="s">
        <v>518</v>
      </c>
    </row>
    <row r="27" spans="1:7">
      <c r="A27" s="42" t="s">
        <v>204</v>
      </c>
      <c r="B27" s="47"/>
      <c r="C27" s="45" t="s">
        <v>46</v>
      </c>
      <c r="D27" s="82" t="s">
        <v>461</v>
      </c>
      <c r="E27" s="98" t="s">
        <v>317</v>
      </c>
      <c r="F27" s="83">
        <v>7</v>
      </c>
      <c r="G27" s="83">
        <v>21</v>
      </c>
    </row>
    <row r="28" spans="1:7">
      <c r="B28" s="120" t="s">
        <v>519</v>
      </c>
    </row>
  </sheetData>
  <mergeCells count="3">
    <mergeCell ref="B7:D7"/>
    <mergeCell ref="B16:D16"/>
    <mergeCell ref="B20:D20"/>
  </mergeCells>
  <hyperlinks>
    <hyperlink ref="B20" r:id="rId1"/>
    <hyperlink ref="B16" r:id="rId2"/>
    <hyperlink ref="B7" r:id="rId3"/>
    <hyperlink ref="B24" r:id="rId4"/>
    <hyperlink ref="B28" r:id="rId5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zoomScale="80" zoomScaleNormal="80" workbookViewId="0">
      <selection sqref="A1:U42"/>
    </sheetView>
  </sheetViews>
  <sheetFormatPr defaultRowHeight="12.5"/>
  <cols>
    <col min="1" max="1" width="7.26953125" customWidth="1"/>
    <col min="2" max="2" width="64.54296875" customWidth="1"/>
    <col min="3" max="3" width="13.81640625" bestFit="1" customWidth="1"/>
    <col min="4" max="4" width="7.81640625" bestFit="1" customWidth="1"/>
    <col min="5" max="5" width="6" customWidth="1"/>
    <col min="6" max="6" width="11.26953125" bestFit="1" customWidth="1"/>
    <col min="7" max="7" width="6" bestFit="1" customWidth="1"/>
    <col min="8" max="8" width="12.26953125" bestFit="1" customWidth="1"/>
    <col min="9" max="9" width="5" bestFit="1" customWidth="1"/>
    <col min="10" max="10" width="12.26953125" bestFit="1" customWidth="1"/>
    <col min="11" max="11" width="5" bestFit="1" customWidth="1"/>
    <col min="12" max="12" width="12.26953125" bestFit="1" customWidth="1"/>
    <col min="13" max="13" width="6" bestFit="1" customWidth="1"/>
    <col min="14" max="14" width="12.26953125" bestFit="1" customWidth="1"/>
    <col min="15" max="15" width="6" bestFit="1" customWidth="1"/>
    <col min="16" max="16" width="12.26953125" bestFit="1" customWidth="1"/>
    <col min="17" max="17" width="5" bestFit="1" customWidth="1"/>
    <col min="18" max="18" width="12.26953125" bestFit="1" customWidth="1"/>
    <col min="19" max="19" width="6" bestFit="1" customWidth="1"/>
    <col min="20" max="20" width="12.26953125" bestFit="1" customWidth="1"/>
    <col min="21" max="21" width="13.81640625" bestFit="1" customWidth="1"/>
    <col min="22" max="22" width="13.26953125" bestFit="1" customWidth="1"/>
  </cols>
  <sheetData>
    <row r="1" spans="1:22" ht="13">
      <c r="A1" s="565"/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423"/>
    </row>
    <row r="2" spans="1:22">
      <c r="A2" s="53"/>
      <c r="B2" s="53"/>
      <c r="C2" s="54"/>
      <c r="D2" s="55"/>
      <c r="E2" s="425"/>
      <c r="F2" s="425"/>
      <c r="G2" s="53"/>
      <c r="H2" s="53"/>
      <c r="I2" s="53"/>
      <c r="J2" s="53"/>
      <c r="K2" s="53"/>
      <c r="L2" s="53"/>
    </row>
    <row r="3" spans="1:22" ht="14">
      <c r="A3" s="443" t="s">
        <v>567</v>
      </c>
      <c r="B3" s="443"/>
      <c r="C3" s="54"/>
      <c r="D3" s="55"/>
      <c r="E3" s="425"/>
      <c r="F3" s="425"/>
      <c r="G3" s="53"/>
      <c r="H3" s="53"/>
      <c r="I3" s="53"/>
      <c r="J3" s="53"/>
      <c r="K3" s="55"/>
      <c r="L3" s="55"/>
    </row>
    <row r="4" spans="1:22" ht="14">
      <c r="A4" s="443" t="s">
        <v>568</v>
      </c>
      <c r="B4" s="443"/>
      <c r="C4" s="54"/>
      <c r="D4" s="55"/>
      <c r="E4" s="57"/>
      <c r="F4" s="57"/>
      <c r="G4" s="426"/>
      <c r="H4" s="426"/>
      <c r="I4" s="53"/>
      <c r="J4" s="53"/>
      <c r="K4" s="55"/>
      <c r="L4" s="55"/>
    </row>
    <row r="5" spans="1:22" ht="14">
      <c r="A5" s="443" t="s">
        <v>569</v>
      </c>
      <c r="B5" s="443"/>
      <c r="C5" s="54"/>
      <c r="D5" s="55"/>
      <c r="E5" s="57"/>
      <c r="F5" s="57"/>
      <c r="G5" s="53"/>
      <c r="H5" s="53"/>
      <c r="I5" s="53"/>
      <c r="J5" s="53"/>
      <c r="K5" s="55"/>
      <c r="L5" s="55"/>
    </row>
    <row r="6" spans="1:22" ht="13">
      <c r="A6" s="56"/>
      <c r="B6" s="56"/>
      <c r="C6" s="54"/>
      <c r="D6" s="55"/>
      <c r="E6" s="57"/>
      <c r="F6" s="57"/>
      <c r="G6" s="53"/>
      <c r="H6" s="53"/>
      <c r="I6" s="53"/>
      <c r="J6" s="53"/>
      <c r="K6" s="55"/>
      <c r="L6" s="55"/>
    </row>
    <row r="7" spans="1:22" ht="18.75" customHeight="1">
      <c r="A7" s="566" t="s">
        <v>566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</row>
    <row r="8" spans="1:22" ht="15.5">
      <c r="A8" s="567" t="s">
        <v>220</v>
      </c>
      <c r="B8" s="568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</row>
    <row r="9" spans="1:22">
      <c r="A9" s="564" t="s">
        <v>0</v>
      </c>
      <c r="B9" s="564" t="s">
        <v>32</v>
      </c>
      <c r="C9" s="564" t="s">
        <v>34</v>
      </c>
      <c r="D9" s="564" t="s">
        <v>221</v>
      </c>
      <c r="E9" s="563" t="s">
        <v>556</v>
      </c>
      <c r="F9" s="563"/>
      <c r="G9" s="563" t="s">
        <v>557</v>
      </c>
      <c r="H9" s="563"/>
      <c r="I9" s="563" t="s">
        <v>558</v>
      </c>
      <c r="J9" s="563"/>
      <c r="K9" s="563" t="s">
        <v>559</v>
      </c>
      <c r="L9" s="563"/>
      <c r="M9" s="563" t="s">
        <v>560</v>
      </c>
      <c r="N9" s="563"/>
      <c r="O9" s="563" t="s">
        <v>561</v>
      </c>
      <c r="P9" s="563"/>
      <c r="Q9" s="563" t="s">
        <v>562</v>
      </c>
      <c r="R9" s="563"/>
      <c r="S9" s="563" t="s">
        <v>563</v>
      </c>
      <c r="T9" s="563"/>
      <c r="U9" s="561" t="s">
        <v>529</v>
      </c>
    </row>
    <row r="10" spans="1:22">
      <c r="A10" s="564"/>
      <c r="B10" s="564"/>
      <c r="C10" s="564"/>
      <c r="D10" s="564"/>
      <c r="E10" s="424" t="s">
        <v>564</v>
      </c>
      <c r="F10" s="424" t="s">
        <v>565</v>
      </c>
      <c r="G10" s="424" t="s">
        <v>564</v>
      </c>
      <c r="H10" s="424" t="s">
        <v>565</v>
      </c>
      <c r="I10" s="424" t="s">
        <v>564</v>
      </c>
      <c r="J10" s="424" t="s">
        <v>565</v>
      </c>
      <c r="K10" s="424" t="s">
        <v>564</v>
      </c>
      <c r="L10" s="424" t="s">
        <v>565</v>
      </c>
      <c r="M10" s="424" t="s">
        <v>564</v>
      </c>
      <c r="N10" s="424" t="s">
        <v>565</v>
      </c>
      <c r="O10" s="424" t="s">
        <v>564</v>
      </c>
      <c r="P10" s="424" t="s">
        <v>565</v>
      </c>
      <c r="Q10" s="424" t="s">
        <v>564</v>
      </c>
      <c r="R10" s="424" t="s">
        <v>565</v>
      </c>
      <c r="S10" s="424" t="s">
        <v>564</v>
      </c>
      <c r="T10" s="424" t="s">
        <v>565</v>
      </c>
      <c r="U10" s="562"/>
    </row>
    <row r="11" spans="1:22" s="429" customFormat="1" ht="20.149999999999999" customHeight="1">
      <c r="A11" s="63"/>
      <c r="B11" s="46"/>
      <c r="C11" s="427"/>
      <c r="D11" s="63"/>
      <c r="E11" s="63"/>
      <c r="F11" s="435"/>
      <c r="G11" s="63"/>
      <c r="H11" s="63"/>
      <c r="I11" s="437"/>
      <c r="J11" s="63"/>
      <c r="K11" s="63"/>
      <c r="L11" s="63"/>
      <c r="M11" s="63"/>
      <c r="N11" s="63"/>
      <c r="O11" s="63"/>
      <c r="P11" s="63"/>
      <c r="Q11" s="60"/>
      <c r="R11" s="63"/>
      <c r="S11" s="60"/>
      <c r="T11" s="428"/>
      <c r="U11" s="428"/>
    </row>
    <row r="12" spans="1:22" s="429" customFormat="1" ht="20.149999999999999" customHeight="1">
      <c r="A12" s="46">
        <v>1</v>
      </c>
      <c r="B12" s="430" t="s">
        <v>217</v>
      </c>
      <c r="C12" s="431">
        <f>ORÇAMENTO!J10</f>
        <v>41735.010000000009</v>
      </c>
      <c r="D12" s="446">
        <f t="shared" ref="D12:D31" si="0">C12/$C$33</f>
        <v>4.0076713350384978E-2</v>
      </c>
      <c r="E12" s="447">
        <v>0.94</v>
      </c>
      <c r="F12" s="436">
        <f>E12*C12</f>
        <v>39230.909400000004</v>
      </c>
      <c r="G12" s="450"/>
      <c r="H12" s="436"/>
      <c r="I12" s="447">
        <v>0.01</v>
      </c>
      <c r="J12" s="436">
        <f>I12*C12</f>
        <v>417.35010000000011</v>
      </c>
      <c r="K12" s="537">
        <v>0.01</v>
      </c>
      <c r="L12" s="436">
        <f>K12*C12</f>
        <v>417.35010000000011</v>
      </c>
      <c r="M12" s="537">
        <v>0.01</v>
      </c>
      <c r="N12" s="436">
        <f>M12*C12</f>
        <v>417.35010000000011</v>
      </c>
      <c r="O12" s="537">
        <v>0.01</v>
      </c>
      <c r="P12" s="436">
        <f>O12*C12</f>
        <v>417.35010000000011</v>
      </c>
      <c r="Q12" s="537">
        <v>0.01</v>
      </c>
      <c r="R12" s="436">
        <f>Q12*C12</f>
        <v>417.35010000000011</v>
      </c>
      <c r="S12" s="537">
        <v>0.01</v>
      </c>
      <c r="T12" s="436">
        <f>S12*C12</f>
        <v>417.35010000000011</v>
      </c>
      <c r="U12" s="442">
        <f>F12+H12+J12+L12+N12+P12+R12+T12</f>
        <v>41735.010000000024</v>
      </c>
      <c r="V12" s="429" t="b">
        <f>U12=C12</f>
        <v>1</v>
      </c>
    </row>
    <row r="13" spans="1:22" s="429" customFormat="1" ht="20.149999999999999" customHeight="1">
      <c r="A13" s="46">
        <v>2</v>
      </c>
      <c r="B13" s="63" t="s">
        <v>222</v>
      </c>
      <c r="C13" s="431">
        <f>ORÇAMENTO!J21</f>
        <v>22511.93</v>
      </c>
      <c r="D13" s="446">
        <f t="shared" si="0"/>
        <v>2.1617442180412366E-2</v>
      </c>
      <c r="E13" s="447">
        <v>0.8</v>
      </c>
      <c r="F13" s="436">
        <f t="shared" ref="F13:F26" si="1">E13*C13</f>
        <v>18009.544000000002</v>
      </c>
      <c r="G13" s="447">
        <v>0.1</v>
      </c>
      <c r="H13" s="436">
        <f t="shared" ref="H13:H26" si="2">G13*C13</f>
        <v>2251.1930000000002</v>
      </c>
      <c r="I13" s="447">
        <v>0.1</v>
      </c>
      <c r="J13" s="436">
        <f>I13*C13</f>
        <v>2251.1930000000002</v>
      </c>
      <c r="K13" s="447"/>
      <c r="L13" s="436"/>
      <c r="M13" s="450"/>
      <c r="N13" s="436"/>
      <c r="O13" s="537"/>
      <c r="P13" s="436"/>
      <c r="Q13" s="450"/>
      <c r="R13" s="436"/>
      <c r="S13" s="449"/>
      <c r="T13" s="436"/>
      <c r="U13" s="442">
        <f t="shared" ref="U13:U31" si="3">F13+H13+J13+L13+N13+P13+R13+T13</f>
        <v>22511.93</v>
      </c>
      <c r="V13" s="429" t="b">
        <f t="shared" ref="V13:V31" si="4">U13=C13</f>
        <v>1</v>
      </c>
    </row>
    <row r="14" spans="1:22" s="429" customFormat="1" ht="20.149999999999999" customHeight="1">
      <c r="A14" s="46">
        <v>3</v>
      </c>
      <c r="B14" s="63" t="s">
        <v>62</v>
      </c>
      <c r="C14" s="431">
        <f>ORÇAMENTO!J28</f>
        <v>50574.840000000004</v>
      </c>
      <c r="D14" s="446">
        <f t="shared" si="0"/>
        <v>4.856530201913415E-2</v>
      </c>
      <c r="E14" s="447">
        <v>0.1</v>
      </c>
      <c r="F14" s="436">
        <f t="shared" si="1"/>
        <v>5057.4840000000004</v>
      </c>
      <c r="G14" s="447">
        <v>0.9</v>
      </c>
      <c r="H14" s="436">
        <f t="shared" si="2"/>
        <v>45517.356000000007</v>
      </c>
      <c r="I14" s="447"/>
      <c r="J14" s="436"/>
      <c r="K14" s="447"/>
      <c r="L14" s="436"/>
      <c r="M14" s="447"/>
      <c r="N14" s="436"/>
      <c r="O14" s="537"/>
      <c r="P14" s="436"/>
      <c r="Q14" s="447"/>
      <c r="R14" s="436"/>
      <c r="S14" s="449"/>
      <c r="T14" s="436"/>
      <c r="U14" s="442">
        <f t="shared" si="3"/>
        <v>50574.840000000011</v>
      </c>
      <c r="V14" s="429" t="b">
        <f t="shared" si="4"/>
        <v>1</v>
      </c>
    </row>
    <row r="15" spans="1:22" s="429" customFormat="1" ht="20.149999999999999" customHeight="1">
      <c r="A15" s="46">
        <v>4</v>
      </c>
      <c r="B15" s="63" t="s">
        <v>35</v>
      </c>
      <c r="C15" s="431">
        <f>ORÇAMENTO!J41</f>
        <v>227570.23</v>
      </c>
      <c r="D15" s="446">
        <f t="shared" si="0"/>
        <v>0.2185279666829163</v>
      </c>
      <c r="E15" s="449"/>
      <c r="F15" s="436"/>
      <c r="G15" s="447">
        <v>0.3</v>
      </c>
      <c r="H15" s="436">
        <f t="shared" si="2"/>
        <v>68271.069000000003</v>
      </c>
      <c r="I15" s="447">
        <v>0.4</v>
      </c>
      <c r="J15" s="436">
        <f t="shared" ref="J15" si="5">I15*C15</f>
        <v>91028.092000000004</v>
      </c>
      <c r="K15" s="447">
        <v>0.3</v>
      </c>
      <c r="L15" s="436">
        <f t="shared" ref="L15:L26" si="6">K15*C15</f>
        <v>68271.069000000003</v>
      </c>
      <c r="M15" s="447"/>
      <c r="N15" s="436"/>
      <c r="O15" s="537"/>
      <c r="P15" s="436"/>
      <c r="Q15" s="447"/>
      <c r="R15" s="436"/>
      <c r="S15" s="447"/>
      <c r="T15" s="436"/>
      <c r="U15" s="442">
        <f t="shared" si="3"/>
        <v>227570.23000000004</v>
      </c>
      <c r="V15" s="429" t="b">
        <f t="shared" si="4"/>
        <v>1</v>
      </c>
    </row>
    <row r="16" spans="1:22" s="429" customFormat="1" ht="20.149999999999999" customHeight="1">
      <c r="A16" s="46">
        <v>5</v>
      </c>
      <c r="B16" s="63" t="s">
        <v>47</v>
      </c>
      <c r="C16" s="431">
        <f>ORÇAMENTO!J66</f>
        <v>50167.56</v>
      </c>
      <c r="D16" s="446">
        <f t="shared" si="0"/>
        <v>4.8174204860816826E-2</v>
      </c>
      <c r="E16" s="449"/>
      <c r="F16" s="436"/>
      <c r="G16" s="448"/>
      <c r="H16" s="436"/>
      <c r="I16" s="447"/>
      <c r="J16" s="436"/>
      <c r="K16" s="447">
        <v>0.5</v>
      </c>
      <c r="L16" s="436">
        <f t="shared" si="6"/>
        <v>25083.78</v>
      </c>
      <c r="M16" s="447">
        <v>0.5</v>
      </c>
      <c r="N16" s="436">
        <f t="shared" ref="N16:N26" si="7">M16*C16</f>
        <v>25083.78</v>
      </c>
      <c r="O16" s="537"/>
      <c r="P16" s="436"/>
      <c r="Q16" s="447"/>
      <c r="R16" s="436"/>
      <c r="S16" s="448"/>
      <c r="T16" s="436"/>
      <c r="U16" s="442">
        <f t="shared" si="3"/>
        <v>50167.56</v>
      </c>
      <c r="V16" s="429" t="b">
        <f t="shared" si="4"/>
        <v>1</v>
      </c>
    </row>
    <row r="17" spans="1:22" s="429" customFormat="1" ht="20.149999999999999" customHeight="1">
      <c r="A17" s="46">
        <v>6</v>
      </c>
      <c r="B17" s="63" t="s">
        <v>2</v>
      </c>
      <c r="C17" s="431">
        <f>ORÇAMENTO!J71</f>
        <v>16497.830000000002</v>
      </c>
      <c r="D17" s="446">
        <f t="shared" si="0"/>
        <v>1.5842306107351638E-2</v>
      </c>
      <c r="E17" s="449"/>
      <c r="F17" s="436"/>
      <c r="G17" s="448"/>
      <c r="H17" s="436"/>
      <c r="I17" s="447"/>
      <c r="J17" s="436"/>
      <c r="K17" s="447"/>
      <c r="L17" s="436"/>
      <c r="M17" s="447">
        <v>0.5</v>
      </c>
      <c r="N17" s="436">
        <f t="shared" si="7"/>
        <v>8248.9150000000009</v>
      </c>
      <c r="O17" s="537">
        <v>0.5</v>
      </c>
      <c r="P17" s="436">
        <f t="shared" ref="P17:P29" si="8">O17*C17</f>
        <v>8248.9150000000009</v>
      </c>
      <c r="Q17" s="447"/>
      <c r="R17" s="436"/>
      <c r="S17" s="448"/>
      <c r="T17" s="436"/>
      <c r="U17" s="442">
        <f t="shared" si="3"/>
        <v>16497.830000000002</v>
      </c>
      <c r="V17" s="429" t="b">
        <f t="shared" si="4"/>
        <v>1</v>
      </c>
    </row>
    <row r="18" spans="1:22" s="429" customFormat="1" ht="20.149999999999999" customHeight="1">
      <c r="A18" s="46">
        <v>7</v>
      </c>
      <c r="B18" s="63" t="s">
        <v>48</v>
      </c>
      <c r="C18" s="431">
        <f>ORÇAMENTO!J83</f>
        <v>184548.5</v>
      </c>
      <c r="D18" s="446">
        <f t="shared" si="0"/>
        <v>0.17721565979602066</v>
      </c>
      <c r="E18" s="449"/>
      <c r="F18" s="436"/>
      <c r="G18" s="447"/>
      <c r="H18" s="436"/>
      <c r="I18" s="447">
        <v>0.7</v>
      </c>
      <c r="J18" s="436">
        <f>I18*C18</f>
        <v>129183.95</v>
      </c>
      <c r="K18" s="447">
        <v>0.3</v>
      </c>
      <c r="L18" s="436">
        <f t="shared" si="6"/>
        <v>55364.549999999996</v>
      </c>
      <c r="M18" s="447"/>
      <c r="N18" s="436"/>
      <c r="O18" s="537"/>
      <c r="P18" s="436"/>
      <c r="Q18" s="447"/>
      <c r="R18" s="436"/>
      <c r="S18" s="447"/>
      <c r="T18" s="436"/>
      <c r="U18" s="442">
        <f t="shared" si="3"/>
        <v>184548.5</v>
      </c>
      <c r="V18" s="429" t="b">
        <f t="shared" si="4"/>
        <v>1</v>
      </c>
    </row>
    <row r="19" spans="1:22" s="429" customFormat="1" ht="20.149999999999999" customHeight="1">
      <c r="A19" s="46">
        <v>8</v>
      </c>
      <c r="B19" s="63" t="s">
        <v>223</v>
      </c>
      <c r="C19" s="431">
        <f>ORÇAMENTO!J89</f>
        <v>4914.92</v>
      </c>
      <c r="D19" s="446">
        <f t="shared" si="0"/>
        <v>4.7196308322454954E-3</v>
      </c>
      <c r="E19" s="447"/>
      <c r="F19" s="436"/>
      <c r="G19" s="447">
        <v>1</v>
      </c>
      <c r="H19" s="436">
        <f t="shared" si="2"/>
        <v>4914.92</v>
      </c>
      <c r="I19" s="447"/>
      <c r="J19" s="436"/>
      <c r="K19" s="447"/>
      <c r="L19" s="436"/>
      <c r="M19" s="447"/>
      <c r="N19" s="436"/>
      <c r="O19" s="537"/>
      <c r="P19" s="436"/>
      <c r="Q19" s="447"/>
      <c r="R19" s="436"/>
      <c r="S19" s="447"/>
      <c r="T19" s="436"/>
      <c r="U19" s="442">
        <f t="shared" si="3"/>
        <v>4914.92</v>
      </c>
      <c r="V19" s="429" t="b">
        <f t="shared" si="4"/>
        <v>1</v>
      </c>
    </row>
    <row r="20" spans="1:22" s="429" customFormat="1" ht="20.149999999999999" customHeight="1">
      <c r="A20" s="46">
        <v>9</v>
      </c>
      <c r="B20" s="63" t="s">
        <v>49</v>
      </c>
      <c r="C20" s="431">
        <f>ORÇAMENTO!J93</f>
        <v>97994.83</v>
      </c>
      <c r="D20" s="446">
        <f t="shared" si="0"/>
        <v>9.4101108679013265E-2</v>
      </c>
      <c r="E20" s="448"/>
      <c r="F20" s="436"/>
      <c r="G20" s="447"/>
      <c r="H20" s="436"/>
      <c r="I20" s="447"/>
      <c r="J20" s="436"/>
      <c r="K20" s="447"/>
      <c r="L20" s="436"/>
      <c r="M20" s="447"/>
      <c r="N20" s="436"/>
      <c r="O20" s="537">
        <v>0.5</v>
      </c>
      <c r="P20" s="436">
        <f t="shared" si="8"/>
        <v>48997.415000000001</v>
      </c>
      <c r="Q20" s="447">
        <v>0.5</v>
      </c>
      <c r="R20" s="436">
        <f t="shared" ref="R20:R30" si="9">Q20*C20</f>
        <v>48997.415000000001</v>
      </c>
      <c r="S20" s="447"/>
      <c r="T20" s="436"/>
      <c r="U20" s="442">
        <f t="shared" si="3"/>
        <v>97994.83</v>
      </c>
      <c r="V20" s="429" t="b">
        <f t="shared" si="4"/>
        <v>1</v>
      </c>
    </row>
    <row r="21" spans="1:22" s="429" customFormat="1" ht="20.149999999999999" customHeight="1">
      <c r="A21" s="46">
        <v>10</v>
      </c>
      <c r="B21" s="63" t="s">
        <v>50</v>
      </c>
      <c r="C21" s="431">
        <f>ORÇAMENTO!J98</f>
        <v>45291.39</v>
      </c>
      <c r="D21" s="446">
        <f t="shared" si="0"/>
        <v>4.3491784338149007E-2</v>
      </c>
      <c r="E21" s="448"/>
      <c r="F21" s="436">
        <f t="shared" si="1"/>
        <v>0</v>
      </c>
      <c r="G21" s="447"/>
      <c r="H21" s="436"/>
      <c r="I21" s="447"/>
      <c r="J21" s="436"/>
      <c r="K21" s="447"/>
      <c r="L21" s="436"/>
      <c r="M21" s="447"/>
      <c r="N21" s="436"/>
      <c r="O21" s="537">
        <v>0.5</v>
      </c>
      <c r="P21" s="436">
        <f t="shared" si="8"/>
        <v>22645.695</v>
      </c>
      <c r="Q21" s="447">
        <v>0.5</v>
      </c>
      <c r="R21" s="436">
        <f t="shared" si="9"/>
        <v>22645.695</v>
      </c>
      <c r="S21" s="447"/>
      <c r="T21" s="436"/>
      <c r="U21" s="442">
        <f t="shared" si="3"/>
        <v>45291.39</v>
      </c>
      <c r="V21" s="429" t="b">
        <f t="shared" si="4"/>
        <v>1</v>
      </c>
    </row>
    <row r="22" spans="1:22" s="429" customFormat="1" ht="20.149999999999999" customHeight="1">
      <c r="A22" s="46">
        <v>11</v>
      </c>
      <c r="B22" s="63" t="s">
        <v>3</v>
      </c>
      <c r="C22" s="431">
        <f>ORÇAMENTO!J109</f>
        <v>89118.14</v>
      </c>
      <c r="D22" s="446">
        <f t="shared" si="0"/>
        <v>8.5577124603527746E-2</v>
      </c>
      <c r="E22" s="449"/>
      <c r="F22" s="436">
        <f t="shared" si="1"/>
        <v>0</v>
      </c>
      <c r="G22" s="449"/>
      <c r="H22" s="436">
        <f t="shared" si="2"/>
        <v>0</v>
      </c>
      <c r="I22" s="447">
        <v>0.5</v>
      </c>
      <c r="J22" s="436">
        <f>I22*C22</f>
        <v>44559.07</v>
      </c>
      <c r="K22" s="447"/>
      <c r="L22" s="436"/>
      <c r="M22" s="447"/>
      <c r="N22" s="436"/>
      <c r="O22" s="537"/>
      <c r="P22" s="436"/>
      <c r="Q22" s="447"/>
      <c r="R22" s="436"/>
      <c r="S22" s="447">
        <v>0.5</v>
      </c>
      <c r="T22" s="436">
        <f t="shared" ref="T22:T31" si="10">S22*C22</f>
        <v>44559.07</v>
      </c>
      <c r="U22" s="442">
        <f t="shared" si="3"/>
        <v>89118.14</v>
      </c>
      <c r="V22" s="429" t="b">
        <f t="shared" si="4"/>
        <v>1</v>
      </c>
    </row>
    <row r="23" spans="1:22" s="429" customFormat="1" ht="20.149999999999999" customHeight="1">
      <c r="A23" s="46">
        <v>12</v>
      </c>
      <c r="B23" s="63" t="s">
        <v>58</v>
      </c>
      <c r="C23" s="431">
        <f>ORÇAMENTO!J121</f>
        <v>7651.7200000000012</v>
      </c>
      <c r="D23" s="446">
        <f t="shared" si="0"/>
        <v>7.3476869677857439E-3</v>
      </c>
      <c r="E23" s="449"/>
      <c r="F23" s="436">
        <f t="shared" si="1"/>
        <v>0</v>
      </c>
      <c r="G23" s="449"/>
      <c r="H23" s="436">
        <f t="shared" si="2"/>
        <v>0</v>
      </c>
      <c r="I23" s="447"/>
      <c r="J23" s="436">
        <f t="shared" ref="J23:J26" si="11">-I23*C23</f>
        <v>0</v>
      </c>
      <c r="K23" s="447">
        <v>0.5</v>
      </c>
      <c r="L23" s="436">
        <f t="shared" si="6"/>
        <v>3825.8600000000006</v>
      </c>
      <c r="M23" s="447">
        <v>0.5</v>
      </c>
      <c r="N23" s="436">
        <f t="shared" si="7"/>
        <v>3825.8600000000006</v>
      </c>
      <c r="O23" s="537"/>
      <c r="P23" s="436"/>
      <c r="Q23" s="447"/>
      <c r="R23" s="436"/>
      <c r="S23" s="447"/>
      <c r="T23" s="436"/>
      <c r="U23" s="442">
        <f t="shared" si="3"/>
        <v>7651.7200000000012</v>
      </c>
      <c r="V23" s="429" t="b">
        <f t="shared" si="4"/>
        <v>1</v>
      </c>
    </row>
    <row r="24" spans="1:22" s="429" customFormat="1" ht="20.149999999999999" customHeight="1">
      <c r="A24" s="46">
        <v>13</v>
      </c>
      <c r="B24" s="63" t="s">
        <v>52</v>
      </c>
      <c r="C24" s="431">
        <f>ORÇAMENTO!J160</f>
        <v>23551.980000000003</v>
      </c>
      <c r="D24" s="446">
        <f t="shared" si="0"/>
        <v>2.26161668894772E-2</v>
      </c>
      <c r="E24" s="449"/>
      <c r="F24" s="436">
        <f t="shared" si="1"/>
        <v>0</v>
      </c>
      <c r="G24" s="449"/>
      <c r="H24" s="436">
        <f t="shared" si="2"/>
        <v>0</v>
      </c>
      <c r="I24" s="447"/>
      <c r="J24" s="436">
        <f t="shared" si="11"/>
        <v>0</v>
      </c>
      <c r="K24" s="447">
        <v>0.5</v>
      </c>
      <c r="L24" s="436">
        <f t="shared" si="6"/>
        <v>11775.990000000002</v>
      </c>
      <c r="M24" s="447">
        <v>0.5</v>
      </c>
      <c r="N24" s="436">
        <f t="shared" si="7"/>
        <v>11775.990000000002</v>
      </c>
      <c r="O24" s="537"/>
      <c r="P24" s="436"/>
      <c r="Q24" s="447"/>
      <c r="R24" s="436"/>
      <c r="S24" s="447"/>
      <c r="T24" s="436"/>
      <c r="U24" s="442">
        <f t="shared" si="3"/>
        <v>23551.980000000003</v>
      </c>
      <c r="V24" s="429" t="b">
        <f t="shared" si="4"/>
        <v>1</v>
      </c>
    </row>
    <row r="25" spans="1:22" s="429" customFormat="1" ht="20.149999999999999" customHeight="1">
      <c r="A25" s="46">
        <v>14</v>
      </c>
      <c r="B25" s="63" t="s">
        <v>91</v>
      </c>
      <c r="C25" s="431">
        <f>ORÇAMENTO!J183</f>
        <v>29172.11</v>
      </c>
      <c r="D25" s="446">
        <f t="shared" si="0"/>
        <v>2.801298694539426E-2</v>
      </c>
      <c r="E25" s="449"/>
      <c r="F25" s="436">
        <f t="shared" si="1"/>
        <v>0</v>
      </c>
      <c r="G25" s="449"/>
      <c r="H25" s="436">
        <f t="shared" si="2"/>
        <v>0</v>
      </c>
      <c r="I25" s="447"/>
      <c r="J25" s="436">
        <f t="shared" si="11"/>
        <v>0</v>
      </c>
      <c r="K25" s="447"/>
      <c r="L25" s="436">
        <f t="shared" si="6"/>
        <v>0</v>
      </c>
      <c r="M25" s="447">
        <v>1</v>
      </c>
      <c r="N25" s="436">
        <f t="shared" si="7"/>
        <v>29172.11</v>
      </c>
      <c r="O25" s="537"/>
      <c r="P25" s="436"/>
      <c r="Q25" s="447"/>
      <c r="R25" s="436"/>
      <c r="S25" s="447"/>
      <c r="T25" s="436"/>
      <c r="U25" s="442">
        <f t="shared" si="3"/>
        <v>29172.11</v>
      </c>
      <c r="V25" s="429" t="b">
        <f t="shared" si="4"/>
        <v>1</v>
      </c>
    </row>
    <row r="26" spans="1:22" s="429" customFormat="1" ht="20.149999999999999" customHeight="1">
      <c r="A26" s="46">
        <v>15</v>
      </c>
      <c r="B26" s="63" t="s">
        <v>1</v>
      </c>
      <c r="C26" s="431">
        <f>ORÇAMENTO!J188</f>
        <v>10660.2</v>
      </c>
      <c r="D26" s="446">
        <f t="shared" si="0"/>
        <v>1.0236628184772781E-2</v>
      </c>
      <c r="E26" s="449"/>
      <c r="F26" s="436">
        <f t="shared" si="1"/>
        <v>0</v>
      </c>
      <c r="G26" s="449"/>
      <c r="H26" s="436">
        <f t="shared" si="2"/>
        <v>0</v>
      </c>
      <c r="I26" s="447"/>
      <c r="J26" s="436">
        <f t="shared" si="11"/>
        <v>0</v>
      </c>
      <c r="K26" s="447">
        <v>0.2</v>
      </c>
      <c r="L26" s="436">
        <f t="shared" si="6"/>
        <v>2132.0400000000004</v>
      </c>
      <c r="M26" s="447">
        <v>0.8</v>
      </c>
      <c r="N26" s="436">
        <f t="shared" si="7"/>
        <v>8528.1600000000017</v>
      </c>
      <c r="O26" s="537"/>
      <c r="P26" s="436"/>
      <c r="Q26" s="447"/>
      <c r="R26" s="436"/>
      <c r="S26" s="447"/>
      <c r="T26" s="436"/>
      <c r="U26" s="442">
        <f t="shared" si="3"/>
        <v>10660.200000000003</v>
      </c>
      <c r="V26" s="429" t="b">
        <f t="shared" si="4"/>
        <v>1</v>
      </c>
    </row>
    <row r="27" spans="1:22" s="429" customFormat="1" ht="20.149999999999999" customHeight="1">
      <c r="A27" s="46">
        <v>16</v>
      </c>
      <c r="B27" s="63" t="s">
        <v>63</v>
      </c>
      <c r="C27" s="431">
        <f>ORÇAMENTO!J202</f>
        <v>2524.5</v>
      </c>
      <c r="D27" s="446">
        <f t="shared" si="0"/>
        <v>2.424191652357262E-3</v>
      </c>
      <c r="E27" s="449"/>
      <c r="F27" s="436"/>
      <c r="G27" s="449"/>
      <c r="H27" s="436"/>
      <c r="I27" s="447"/>
      <c r="J27" s="436"/>
      <c r="K27" s="447"/>
      <c r="L27" s="436"/>
      <c r="M27" s="447"/>
      <c r="N27" s="436"/>
      <c r="O27" s="537"/>
      <c r="P27" s="436"/>
      <c r="Q27" s="447"/>
      <c r="R27" s="436"/>
      <c r="S27" s="447">
        <v>1</v>
      </c>
      <c r="T27" s="436">
        <f>S27*C27</f>
        <v>2524.5</v>
      </c>
      <c r="U27" s="442">
        <f t="shared" si="3"/>
        <v>2524.5</v>
      </c>
      <c r="V27" s="429" t="b">
        <f t="shared" si="4"/>
        <v>1</v>
      </c>
    </row>
    <row r="28" spans="1:22" s="429" customFormat="1" ht="20.149999999999999" customHeight="1">
      <c r="A28" s="46">
        <v>17</v>
      </c>
      <c r="B28" s="63" t="s">
        <v>224</v>
      </c>
      <c r="C28" s="431">
        <f>ORÇAMENTO!J209</f>
        <v>36410.800000000003</v>
      </c>
      <c r="D28" s="446">
        <f t="shared" si="0"/>
        <v>3.4964055225054386E-2</v>
      </c>
      <c r="E28" s="449"/>
      <c r="F28" s="436"/>
      <c r="G28" s="447"/>
      <c r="H28" s="436"/>
      <c r="I28" s="447"/>
      <c r="J28" s="436"/>
      <c r="K28" s="447"/>
      <c r="L28" s="436"/>
      <c r="M28" s="447"/>
      <c r="N28" s="436"/>
      <c r="O28" s="537">
        <v>0.8</v>
      </c>
      <c r="P28" s="436">
        <f t="shared" si="8"/>
        <v>29128.640000000003</v>
      </c>
      <c r="Q28" s="447">
        <v>0.2</v>
      </c>
      <c r="R28" s="436">
        <f t="shared" si="9"/>
        <v>7282.1600000000008</v>
      </c>
      <c r="S28" s="447"/>
      <c r="T28" s="436"/>
      <c r="U28" s="442">
        <f t="shared" si="3"/>
        <v>36410.800000000003</v>
      </c>
      <c r="V28" s="429" t="b">
        <f t="shared" si="4"/>
        <v>1</v>
      </c>
    </row>
    <row r="29" spans="1:22" s="429" customFormat="1" ht="20.149999999999999" customHeight="1">
      <c r="A29" s="46">
        <v>18</v>
      </c>
      <c r="B29" s="63" t="s">
        <v>53</v>
      </c>
      <c r="C29" s="431">
        <f>ORÇAMENTO!J253</f>
        <v>20474.840000000004</v>
      </c>
      <c r="D29" s="446">
        <f t="shared" si="0"/>
        <v>1.9661293805248791E-2</v>
      </c>
      <c r="E29" s="447"/>
      <c r="F29" s="436"/>
      <c r="G29" s="447"/>
      <c r="H29" s="436"/>
      <c r="I29" s="447"/>
      <c r="J29" s="436"/>
      <c r="K29" s="447"/>
      <c r="L29" s="436"/>
      <c r="M29" s="447"/>
      <c r="N29" s="436"/>
      <c r="O29" s="537">
        <v>1</v>
      </c>
      <c r="P29" s="436">
        <f t="shared" si="8"/>
        <v>20474.840000000004</v>
      </c>
      <c r="Q29" s="447"/>
      <c r="R29" s="436"/>
      <c r="S29" s="448"/>
      <c r="T29" s="436"/>
      <c r="U29" s="442">
        <f t="shared" si="3"/>
        <v>20474.840000000004</v>
      </c>
      <c r="V29" s="429" t="b">
        <f t="shared" si="4"/>
        <v>1</v>
      </c>
    </row>
    <row r="30" spans="1:22" s="429" customFormat="1" ht="20.149999999999999" customHeight="1">
      <c r="A30" s="46">
        <v>19</v>
      </c>
      <c r="B30" s="63" t="s">
        <v>59</v>
      </c>
      <c r="C30" s="431">
        <f>ORÇAMENTO!J263</f>
        <v>77668.23</v>
      </c>
      <c r="D30" s="446">
        <f t="shared" si="0"/>
        <v>7.4582164713552723E-2</v>
      </c>
      <c r="E30" s="449"/>
      <c r="F30" s="436"/>
      <c r="G30" s="447"/>
      <c r="H30" s="436"/>
      <c r="I30" s="447"/>
      <c r="J30" s="436"/>
      <c r="K30" s="447"/>
      <c r="L30" s="436"/>
      <c r="M30" s="437"/>
      <c r="N30" s="436"/>
      <c r="O30" s="537"/>
      <c r="P30" s="436"/>
      <c r="Q30" s="447">
        <v>0.3</v>
      </c>
      <c r="R30" s="436">
        <f t="shared" si="9"/>
        <v>23300.468999999997</v>
      </c>
      <c r="S30" s="447">
        <v>0.7</v>
      </c>
      <c r="T30" s="436">
        <f t="shared" si="10"/>
        <v>54367.760999999991</v>
      </c>
      <c r="U30" s="442">
        <f t="shared" si="3"/>
        <v>77668.229999999981</v>
      </c>
      <c r="V30" s="429" t="b">
        <f t="shared" si="4"/>
        <v>1</v>
      </c>
    </row>
    <row r="31" spans="1:22" s="429" customFormat="1" ht="20.149999999999999" customHeight="1">
      <c r="A31" s="46">
        <v>20</v>
      </c>
      <c r="B31" s="63" t="s">
        <v>54</v>
      </c>
      <c r="C31" s="431">
        <f>ORÇAMENTO!J274</f>
        <v>2338.5</v>
      </c>
      <c r="D31" s="446">
        <f t="shared" si="0"/>
        <v>2.2455821663844157E-3</v>
      </c>
      <c r="E31" s="438"/>
      <c r="F31" s="436"/>
      <c r="G31" s="448"/>
      <c r="H31" s="436"/>
      <c r="I31" s="447"/>
      <c r="J31" s="436"/>
      <c r="K31" s="447"/>
      <c r="L31" s="436"/>
      <c r="M31" s="439"/>
      <c r="N31" s="436"/>
      <c r="O31" s="538"/>
      <c r="P31" s="436"/>
      <c r="Q31" s="448"/>
      <c r="R31" s="436"/>
      <c r="S31" s="447">
        <v>1</v>
      </c>
      <c r="T31" s="436">
        <f t="shared" si="10"/>
        <v>2338.5</v>
      </c>
      <c r="U31" s="442">
        <f t="shared" si="3"/>
        <v>2338.5</v>
      </c>
      <c r="V31" s="429" t="b">
        <f t="shared" si="4"/>
        <v>1</v>
      </c>
    </row>
    <row r="32" spans="1:22" s="429" customFormat="1" ht="20.149999999999999" customHeight="1" thickBot="1">
      <c r="A32" s="53"/>
      <c r="B32" s="53"/>
      <c r="C32" s="432"/>
      <c r="D32" s="53"/>
      <c r="E32" s="53"/>
      <c r="F32" s="53"/>
      <c r="G32" s="441"/>
      <c r="H32" s="53"/>
      <c r="I32" s="53"/>
      <c r="J32" s="53"/>
      <c r="K32" s="53"/>
      <c r="L32" s="53"/>
      <c r="U32" s="442"/>
    </row>
    <row r="33" spans="1:21" s="429" customFormat="1" ht="20.149999999999999" customHeight="1" thickBot="1">
      <c r="A33" s="569" t="s">
        <v>225</v>
      </c>
      <c r="B33" s="570"/>
      <c r="C33" s="433">
        <f>ROUNDDOWN(C12+C13+C14+C15+C16+C17+C18+C19+C20+C21+C22+C23+C24+C25+C26+C27+C28+C29+C30+C31,2)</f>
        <v>1041378.06</v>
      </c>
      <c r="D33" s="445">
        <f>SUM(D11:D31)</f>
        <v>1</v>
      </c>
      <c r="E33" s="440">
        <f>F33/C33</f>
        <v>5.9822594495605189E-2</v>
      </c>
      <c r="F33" s="434">
        <f>SUM(F12:F31)</f>
        <v>62297.93740000001</v>
      </c>
      <c r="G33" s="440"/>
      <c r="H33" s="434">
        <f>SUM(H12:H31)</f>
        <v>120954.53800000002</v>
      </c>
      <c r="I33" s="440"/>
      <c r="J33" s="434">
        <f>SUM(J12:J31)</f>
        <v>267439.65509999997</v>
      </c>
      <c r="K33" s="440"/>
      <c r="L33" s="434">
        <f>SUM(L12:L31)</f>
        <v>166870.6391</v>
      </c>
      <c r="M33" s="440"/>
      <c r="N33" s="434">
        <f>SUM(N12:N31)</f>
        <v>87052.165100000013</v>
      </c>
      <c r="O33" s="440"/>
      <c r="P33" s="434">
        <f>SUM(P12:P31)</f>
        <v>129912.85510000002</v>
      </c>
      <c r="Q33" s="440"/>
      <c r="R33" s="434">
        <f>SUM(R12:R31)</f>
        <v>102643.0891</v>
      </c>
      <c r="S33" s="440"/>
      <c r="T33" s="434">
        <f>SUM(T12:T31)</f>
        <v>104207.18109999999</v>
      </c>
      <c r="U33" s="434">
        <f>SUM(U12:U31)</f>
        <v>1041378.06</v>
      </c>
    </row>
    <row r="36" spans="1:21" ht="15.5">
      <c r="B36" s="444" t="s">
        <v>570</v>
      </c>
    </row>
    <row r="40" spans="1:21">
      <c r="P40" s="548"/>
      <c r="Q40" s="548"/>
      <c r="R40" s="548"/>
      <c r="S40" s="548"/>
      <c r="T40" s="548"/>
    </row>
    <row r="41" spans="1:21" ht="15.5">
      <c r="P41" s="549" t="s">
        <v>646</v>
      </c>
      <c r="Q41" s="549"/>
      <c r="R41" s="549"/>
      <c r="S41" s="549"/>
      <c r="T41" s="549"/>
    </row>
    <row r="42" spans="1:21">
      <c r="P42" s="550" t="s">
        <v>647</v>
      </c>
      <c r="Q42" s="550"/>
      <c r="R42" s="550"/>
      <c r="S42" s="550"/>
      <c r="T42" s="550"/>
    </row>
  </sheetData>
  <mergeCells count="20">
    <mergeCell ref="P40:T40"/>
    <mergeCell ref="P41:T41"/>
    <mergeCell ref="P42:T42"/>
    <mergeCell ref="B9:B10"/>
    <mergeCell ref="A33:B33"/>
    <mergeCell ref="A1:O1"/>
    <mergeCell ref="E9:F9"/>
    <mergeCell ref="G9:H9"/>
    <mergeCell ref="I9:J9"/>
    <mergeCell ref="K9:L9"/>
    <mergeCell ref="M9:N9"/>
    <mergeCell ref="O9:P9"/>
    <mergeCell ref="A9:A10"/>
    <mergeCell ref="A7:T7"/>
    <mergeCell ref="A8:T8"/>
    <mergeCell ref="U9:U10"/>
    <mergeCell ref="Q9:R9"/>
    <mergeCell ref="S9:T9"/>
    <mergeCell ref="D9:D10"/>
    <mergeCell ref="C9:C10"/>
  </mergeCells>
  <phoneticPr fontId="39" type="noConversion"/>
  <pageMargins left="0.51181102362204722" right="0.51181102362204722" top="0.78740157480314965" bottom="0.78740157480314965" header="0.31496062992125984" footer="0.31496062992125984"/>
  <pageSetup paperSize="9" scale="54" orientation="landscape" horizontalDpi="0" verticalDpi="0" r:id="rId1"/>
  <headerFooter>
    <oddFooter>Página &amp;P de &amp;N</oddFooter>
  </headerFooter>
  <ignoredErrors>
    <ignoredError sqref="J1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workbookViewId="0">
      <selection activeCell="U9" sqref="T9:U9"/>
    </sheetView>
  </sheetViews>
  <sheetFormatPr defaultRowHeight="12.5"/>
  <cols>
    <col min="2" max="2" width="9.7265625" customWidth="1"/>
    <col min="16" max="16" width="10.26953125" bestFit="1" customWidth="1"/>
  </cols>
  <sheetData>
    <row r="1" spans="1:17" ht="24" customHeight="1"/>
    <row r="2" spans="1:17" ht="24" customHeight="1"/>
    <row r="4" spans="1:17" ht="30" customHeight="1"/>
    <row r="5" spans="1:17" ht="15.5">
      <c r="A5" s="122" t="s">
        <v>290</v>
      </c>
      <c r="B5" s="123"/>
      <c r="C5" s="571" t="s">
        <v>289</v>
      </c>
      <c r="D5" s="571"/>
      <c r="E5" s="571"/>
      <c r="F5" s="571"/>
      <c r="G5" s="571"/>
      <c r="H5" s="571"/>
      <c r="I5" s="571"/>
      <c r="J5" s="571"/>
    </row>
    <row r="6" spans="1:17" ht="15.5">
      <c r="A6" s="545" t="s">
        <v>291</v>
      </c>
      <c r="B6" s="545"/>
      <c r="C6" s="572" t="s">
        <v>292</v>
      </c>
      <c r="D6" s="572"/>
      <c r="E6" s="572"/>
      <c r="F6" s="572"/>
      <c r="G6" s="572"/>
      <c r="H6" s="572"/>
      <c r="I6" s="572"/>
      <c r="J6" s="572"/>
    </row>
    <row r="7" spans="1:17" ht="12.75" customHeight="1">
      <c r="A7" s="584" t="s">
        <v>619</v>
      </c>
      <c r="B7" s="584"/>
      <c r="C7" s="584"/>
      <c r="D7" s="584"/>
      <c r="E7" s="584"/>
      <c r="F7" s="584"/>
      <c r="G7" s="584"/>
      <c r="H7" s="584"/>
      <c r="I7" s="585">
        <v>0.6</v>
      </c>
      <c r="J7" s="585"/>
    </row>
    <row r="8" spans="1:17">
      <c r="A8" s="586" t="s">
        <v>620</v>
      </c>
      <c r="B8" s="586"/>
      <c r="C8" s="586"/>
      <c r="D8" s="586"/>
      <c r="E8" s="586"/>
      <c r="F8" s="586"/>
      <c r="G8" s="586"/>
      <c r="H8" s="586"/>
      <c r="I8" s="585">
        <v>0.02</v>
      </c>
      <c r="J8" s="585"/>
    </row>
    <row r="9" spans="1:17">
      <c r="A9" s="523"/>
      <c r="B9" s="523"/>
      <c r="C9" s="523"/>
      <c r="D9" s="523"/>
      <c r="E9" s="523"/>
      <c r="F9" s="523"/>
      <c r="G9" s="523"/>
      <c r="H9" s="523"/>
      <c r="I9" s="523"/>
      <c r="J9" s="523"/>
    </row>
    <row r="10" spans="1:17">
      <c r="A10" s="524"/>
      <c r="B10" s="524"/>
      <c r="C10" s="524"/>
      <c r="D10" s="524"/>
      <c r="E10" s="524"/>
      <c r="F10" s="524"/>
      <c r="G10" s="524"/>
      <c r="H10" s="524"/>
      <c r="I10" s="524"/>
      <c r="J10" s="524"/>
    </row>
    <row r="11" spans="1:17" ht="15.5">
      <c r="A11" s="587" t="s">
        <v>645</v>
      </c>
      <c r="B11" s="587"/>
      <c r="C11" s="587"/>
      <c r="D11" s="587"/>
      <c r="E11" s="587"/>
      <c r="F11" s="587"/>
      <c r="G11" s="587"/>
      <c r="H11" s="587"/>
      <c r="I11" s="587"/>
      <c r="J11" s="587"/>
    </row>
    <row r="12" spans="1:17">
      <c r="A12" s="524"/>
      <c r="B12" s="524"/>
      <c r="C12" s="524"/>
      <c r="D12" s="524"/>
      <c r="E12" s="524"/>
      <c r="F12" s="524"/>
      <c r="G12" s="524"/>
      <c r="H12" s="524"/>
      <c r="I12" s="524"/>
      <c r="J12" s="524"/>
    </row>
    <row r="13" spans="1:17" ht="13">
      <c r="A13" s="583" t="s">
        <v>621</v>
      </c>
      <c r="B13" s="583"/>
      <c r="C13" s="583"/>
      <c r="D13" s="583"/>
      <c r="E13" s="583"/>
      <c r="F13" s="583"/>
      <c r="G13" s="583"/>
      <c r="H13" s="583"/>
      <c r="I13" s="583"/>
      <c r="J13" s="583"/>
    </row>
    <row r="14" spans="1:17">
      <c r="A14" s="588" t="s">
        <v>622</v>
      </c>
      <c r="B14" s="588"/>
      <c r="C14" s="588"/>
      <c r="D14" s="588"/>
      <c r="E14" s="588"/>
      <c r="F14" s="588"/>
      <c r="G14" s="588"/>
      <c r="H14" s="588"/>
      <c r="I14" s="588"/>
      <c r="J14" s="588"/>
    </row>
    <row r="15" spans="1:17">
      <c r="A15" s="524"/>
      <c r="B15" s="524"/>
      <c r="C15" s="524"/>
      <c r="D15" s="524"/>
      <c r="E15" s="524"/>
      <c r="F15" s="524"/>
      <c r="G15" s="524"/>
      <c r="H15" s="524"/>
      <c r="I15" s="524"/>
      <c r="J15" s="524"/>
    </row>
    <row r="16" spans="1:17">
      <c r="A16" s="589" t="s">
        <v>623</v>
      </c>
      <c r="B16" s="589"/>
      <c r="C16" s="589"/>
      <c r="D16" s="589"/>
      <c r="E16" s="589"/>
      <c r="F16" s="589"/>
      <c r="G16" s="589"/>
      <c r="H16" s="589"/>
      <c r="I16" s="589" t="s">
        <v>624</v>
      </c>
      <c r="J16" s="574" t="s">
        <v>625</v>
      </c>
      <c r="L16" s="574" t="s">
        <v>626</v>
      </c>
      <c r="M16" s="574"/>
      <c r="N16" s="574"/>
      <c r="O16" s="582" t="s">
        <v>627</v>
      </c>
      <c r="P16" s="582" t="s">
        <v>628</v>
      </c>
      <c r="Q16" s="582" t="s">
        <v>629</v>
      </c>
    </row>
    <row r="17" spans="1:17">
      <c r="A17" s="589"/>
      <c r="B17" s="589"/>
      <c r="C17" s="589"/>
      <c r="D17" s="589"/>
      <c r="E17" s="589"/>
      <c r="F17" s="589"/>
      <c r="G17" s="589"/>
      <c r="H17" s="589"/>
      <c r="I17" s="589"/>
      <c r="J17" s="574"/>
      <c r="L17" s="574"/>
      <c r="M17" s="574"/>
      <c r="N17" s="574"/>
      <c r="O17" s="582"/>
      <c r="P17" s="582"/>
      <c r="Q17" s="582"/>
    </row>
    <row r="18" spans="1:17" ht="14">
      <c r="A18" s="573" t="str">
        <f>IF($J$23=$A$152,"Encargos Sociais incidentes sobre a mão de obra","Administração Central")</f>
        <v>Administração Central</v>
      </c>
      <c r="B18" s="573"/>
      <c r="C18" s="573"/>
      <c r="D18" s="573"/>
      <c r="E18" s="573"/>
      <c r="F18" s="573"/>
      <c r="G18" s="573"/>
      <c r="H18" s="573"/>
      <c r="I18" s="525" t="str">
        <f>IF($J14=$A$152,"K1","AC")</f>
        <v>K1</v>
      </c>
      <c r="J18" s="526">
        <v>0.04</v>
      </c>
      <c r="L18" s="575" t="s">
        <v>630</v>
      </c>
      <c r="M18" s="575"/>
      <c r="N18" s="575"/>
      <c r="O18" s="527">
        <v>0.03</v>
      </c>
      <c r="P18" s="527">
        <v>0.04</v>
      </c>
      <c r="Q18" s="527">
        <v>5.5E-2</v>
      </c>
    </row>
    <row r="19" spans="1:17" ht="14">
      <c r="A19" s="573" t="str">
        <f>IF($J$23=$A$152,"Administração Central da empresa ou consultoria - overhead","Seguro e Garantia")</f>
        <v>Seguro e Garantia</v>
      </c>
      <c r="B19" s="573"/>
      <c r="C19" s="573"/>
      <c r="D19" s="573"/>
      <c r="E19" s="573"/>
      <c r="F19" s="573"/>
      <c r="G19" s="573"/>
      <c r="H19" s="573"/>
      <c r="I19" s="525" t="str">
        <f>IF($J14=$A$152,"K2","SG")</f>
        <v>K2</v>
      </c>
      <c r="J19" s="526">
        <v>8.0000000000000002E-3</v>
      </c>
      <c r="L19" s="575" t="s">
        <v>630</v>
      </c>
      <c r="M19" s="575"/>
      <c r="N19" s="575"/>
      <c r="O19" s="527">
        <v>8.0000000000000002E-3</v>
      </c>
      <c r="P19" s="527">
        <v>8.0000000000000002E-3</v>
      </c>
      <c r="Q19" s="527">
        <v>0.01</v>
      </c>
    </row>
    <row r="20" spans="1:17" ht="14">
      <c r="A20" s="573" t="str">
        <f>IF($J$23=$A$152,"","Risco")</f>
        <v>Risco</v>
      </c>
      <c r="B20" s="573"/>
      <c r="C20" s="573"/>
      <c r="D20" s="573"/>
      <c r="E20" s="573"/>
      <c r="F20" s="573"/>
      <c r="G20" s="573"/>
      <c r="H20" s="573"/>
      <c r="I20" s="525" t="str">
        <f>IF($J14=$A$152,"","R")</f>
        <v/>
      </c>
      <c r="J20" s="526">
        <v>1.2699999999999999E-2</v>
      </c>
      <c r="L20" s="575" t="s">
        <v>630</v>
      </c>
      <c r="M20" s="575"/>
      <c r="N20" s="575"/>
      <c r="O20" s="527">
        <v>9.7000000000000003E-3</v>
      </c>
      <c r="P20" s="527">
        <v>1.2699999999999999E-2</v>
      </c>
      <c r="Q20" s="527">
        <v>1.2699999999999999E-2</v>
      </c>
    </row>
    <row r="21" spans="1:17" ht="14">
      <c r="A21" s="573" t="str">
        <f>IF($J$23=$A$152,"","Despesas Financeiras")</f>
        <v>Despesas Financeiras</v>
      </c>
      <c r="B21" s="573"/>
      <c r="C21" s="573"/>
      <c r="D21" s="573"/>
      <c r="E21" s="573"/>
      <c r="F21" s="573"/>
      <c r="G21" s="573"/>
      <c r="H21" s="573"/>
      <c r="I21" s="525" t="str">
        <f>IF($J14=$A$152,"","DF")</f>
        <v/>
      </c>
      <c r="J21" s="526">
        <v>1.23E-2</v>
      </c>
      <c r="L21" s="575" t="s">
        <v>630</v>
      </c>
      <c r="M21" s="575"/>
      <c r="N21" s="575"/>
      <c r="O21" s="527">
        <v>5.8999999999999999E-3</v>
      </c>
      <c r="P21" s="527">
        <v>1.23E-2</v>
      </c>
      <c r="Q21" s="527">
        <v>1.3899999999999999E-2</v>
      </c>
    </row>
    <row r="22" spans="1:17" ht="14">
      <c r="A22" s="573" t="str">
        <f>IF($J$23=$A$152,"Margem bruta da empresa de consultoria","Lucro")</f>
        <v>Lucro</v>
      </c>
      <c r="B22" s="573"/>
      <c r="C22" s="573"/>
      <c r="D22" s="573"/>
      <c r="E22" s="573"/>
      <c r="F22" s="573"/>
      <c r="G22" s="573"/>
      <c r="H22" s="573"/>
      <c r="I22" s="525" t="str">
        <f>IF($J14=$A$152,"K3","L")</f>
        <v>K3</v>
      </c>
      <c r="J22" s="526">
        <v>7.3999999999999996E-2</v>
      </c>
      <c r="L22" s="575" t="s">
        <v>630</v>
      </c>
      <c r="M22" s="575"/>
      <c r="N22" s="575"/>
      <c r="O22" s="527">
        <v>6.1600000000000002E-2</v>
      </c>
      <c r="P22" s="527">
        <v>7.3999999999999996E-2</v>
      </c>
      <c r="Q22" s="527">
        <v>8.9599999999999999E-2</v>
      </c>
    </row>
    <row r="23" spans="1:17" ht="14">
      <c r="A23" s="573" t="s">
        <v>631</v>
      </c>
      <c r="B23" s="573"/>
      <c r="C23" s="573"/>
      <c r="D23" s="573"/>
      <c r="E23" s="573"/>
      <c r="F23" s="573"/>
      <c r="G23" s="573"/>
      <c r="H23" s="573"/>
      <c r="I23" s="525" t="s">
        <v>632</v>
      </c>
      <c r="J23" s="526">
        <v>3.6499999999999998E-2</v>
      </c>
      <c r="L23" s="575" t="s">
        <v>630</v>
      </c>
      <c r="M23" s="575"/>
      <c r="N23" s="575"/>
      <c r="O23" s="527">
        <v>3.6499999999999998E-2</v>
      </c>
      <c r="P23" s="527">
        <v>3.6499999999999998E-2</v>
      </c>
      <c r="Q23" s="527">
        <v>3.6499999999999998E-2</v>
      </c>
    </row>
    <row r="24" spans="1:17" ht="14">
      <c r="A24" s="573" t="s">
        <v>633</v>
      </c>
      <c r="B24" s="573"/>
      <c r="C24" s="573"/>
      <c r="D24" s="573"/>
      <c r="E24" s="573"/>
      <c r="F24" s="573"/>
      <c r="G24" s="573"/>
      <c r="H24" s="573"/>
      <c r="I24" s="525" t="s">
        <v>634</v>
      </c>
      <c r="J24" s="527">
        <v>1.2E-2</v>
      </c>
      <c r="L24" s="575" t="s">
        <v>630</v>
      </c>
      <c r="M24" s="575"/>
      <c r="N24" s="575"/>
      <c r="O24" s="527">
        <v>0</v>
      </c>
      <c r="P24" s="527">
        <v>2.5000000000000001E-2</v>
      </c>
      <c r="Q24" s="527">
        <v>0.05</v>
      </c>
    </row>
    <row r="25" spans="1:17" ht="22.5" customHeight="1">
      <c r="A25" s="573" t="s">
        <v>635</v>
      </c>
      <c r="B25" s="573"/>
      <c r="C25" s="573"/>
      <c r="D25" s="573"/>
      <c r="E25" s="573"/>
      <c r="F25" s="573"/>
      <c r="G25" s="573"/>
      <c r="H25" s="573"/>
      <c r="I25" s="525" t="s">
        <v>636</v>
      </c>
      <c r="J25" s="527">
        <v>4.4999999999999998E-2</v>
      </c>
      <c r="L25" s="575" t="s">
        <v>630</v>
      </c>
      <c r="M25" s="575"/>
      <c r="N25" s="575"/>
      <c r="O25" s="528">
        <v>0</v>
      </c>
      <c r="P25" s="528">
        <v>4.4999999999999998E-2</v>
      </c>
      <c r="Q25" s="528">
        <v>4.4999999999999998E-2</v>
      </c>
    </row>
    <row r="26" spans="1:17" ht="28">
      <c r="A26" s="573" t="s">
        <v>637</v>
      </c>
      <c r="B26" s="573"/>
      <c r="C26" s="573"/>
      <c r="D26" s="573"/>
      <c r="E26" s="573"/>
      <c r="F26" s="573"/>
      <c r="G26" s="573"/>
      <c r="H26" s="573"/>
      <c r="I26" s="529" t="s">
        <v>638</v>
      </c>
      <c r="J26" s="527">
        <v>0.21199999999999999</v>
      </c>
      <c r="L26" s="574" t="str">
        <f>IF(OR($J$23=$A$152,$J$23=$A$151,AND(J26&gt;=O26,J26&lt;=Q26)),"OK","FORA DO INTERVALO")</f>
        <v>OK</v>
      </c>
      <c r="M26" s="574"/>
      <c r="N26" s="574"/>
      <c r="O26" s="527">
        <v>0.2034</v>
      </c>
      <c r="P26" s="527">
        <v>0.22120000000000001</v>
      </c>
      <c r="Q26" s="527">
        <v>0.25</v>
      </c>
    </row>
    <row r="27" spans="1:17" ht="28">
      <c r="A27" s="590" t="s">
        <v>639</v>
      </c>
      <c r="B27" s="590"/>
      <c r="C27" s="590"/>
      <c r="D27" s="590"/>
      <c r="E27" s="590"/>
      <c r="F27" s="590"/>
      <c r="G27" s="590"/>
      <c r="H27" s="590"/>
      <c r="I27" s="530" t="s">
        <v>640</v>
      </c>
      <c r="J27" s="531">
        <v>0.27210000000000001</v>
      </c>
    </row>
    <row r="28" spans="1:17">
      <c r="A28" s="524"/>
      <c r="B28" s="524"/>
      <c r="C28" s="524"/>
      <c r="D28" s="524"/>
      <c r="E28" s="524"/>
      <c r="F28" s="524"/>
      <c r="G28" s="524"/>
      <c r="H28" s="524"/>
      <c r="I28" s="524"/>
      <c r="J28" s="524"/>
    </row>
    <row r="29" spans="1:17" ht="15.5">
      <c r="A29" s="532" t="str">
        <f>IF(L26&lt;&gt;"ok","X","")</f>
        <v/>
      </c>
      <c r="B29" s="576" t="str">
        <f>IF(L26&lt;&gt;"ok","Anexo: Relatório Técnico Circunstanciado justificando a adoção do percentual de cada parcela do BDI.","")</f>
        <v/>
      </c>
      <c r="C29" s="576"/>
      <c r="D29" s="576"/>
      <c r="E29" s="576"/>
      <c r="F29" s="576"/>
      <c r="G29" s="576"/>
      <c r="H29" s="576"/>
      <c r="I29" s="576"/>
      <c r="J29" s="576"/>
    </row>
    <row r="30" spans="1:17">
      <c r="A30" s="524"/>
      <c r="B30" s="524"/>
      <c r="C30" s="524"/>
      <c r="D30" s="524"/>
      <c r="E30" s="524"/>
      <c r="F30" s="524"/>
      <c r="G30" s="524"/>
      <c r="H30" s="524"/>
      <c r="I30" s="524"/>
      <c r="J30" s="524"/>
    </row>
    <row r="31" spans="1:17">
      <c r="A31" s="577" t="s">
        <v>641</v>
      </c>
      <c r="B31" s="577"/>
      <c r="C31" s="577"/>
      <c r="D31" s="577"/>
      <c r="E31" s="577"/>
      <c r="F31" s="577"/>
      <c r="G31" s="577"/>
      <c r="H31" s="577"/>
      <c r="I31" s="577"/>
      <c r="J31" s="577"/>
    </row>
    <row r="32" spans="1:17" ht="15.5">
      <c r="A32" s="533"/>
      <c r="B32" s="533"/>
      <c r="C32" s="533"/>
      <c r="D32" s="578" t="s">
        <v>642</v>
      </c>
      <c r="E32" s="579" t="str">
        <f>IF($J14=$A$152,"(1+K1+K2)*(1+K3)","(1+AC + S + R + G)*(1 + DF)*(1+L)")</f>
        <v>(1+K1+K2)*(1+K3)</v>
      </c>
      <c r="F32" s="579"/>
      <c r="G32" s="579"/>
      <c r="H32" s="580" t="s">
        <v>643</v>
      </c>
      <c r="I32" s="533"/>
      <c r="J32" s="533"/>
    </row>
    <row r="33" spans="1:13" ht="15.5">
      <c r="A33" s="533"/>
      <c r="B33" s="533"/>
      <c r="C33" s="533"/>
      <c r="D33" s="578"/>
      <c r="E33" s="581" t="s">
        <v>644</v>
      </c>
      <c r="F33" s="581"/>
      <c r="G33" s="581"/>
      <c r="H33" s="580"/>
      <c r="I33" s="533"/>
      <c r="J33" s="533"/>
    </row>
    <row r="35" spans="1:13">
      <c r="A35" s="522" t="s">
        <v>523</v>
      </c>
    </row>
    <row r="36" spans="1:13">
      <c r="I36" s="548"/>
      <c r="J36" s="548"/>
      <c r="K36" s="548"/>
      <c r="L36" s="548"/>
      <c r="M36" s="548"/>
    </row>
    <row r="37" spans="1:13" ht="15.5">
      <c r="I37" s="549" t="s">
        <v>646</v>
      </c>
      <c r="J37" s="549"/>
      <c r="K37" s="549"/>
      <c r="L37" s="549"/>
      <c r="M37" s="549"/>
    </row>
    <row r="38" spans="1:13">
      <c r="I38" s="550" t="s">
        <v>647</v>
      </c>
      <c r="J38" s="550"/>
      <c r="K38" s="550"/>
      <c r="L38" s="550"/>
      <c r="M38" s="550"/>
    </row>
  </sheetData>
  <mergeCells count="45">
    <mergeCell ref="I36:M36"/>
    <mergeCell ref="I37:M37"/>
    <mergeCell ref="I38:M38"/>
    <mergeCell ref="A13:J13"/>
    <mergeCell ref="A7:H7"/>
    <mergeCell ref="I7:J7"/>
    <mergeCell ref="A8:H8"/>
    <mergeCell ref="I8:J8"/>
    <mergeCell ref="A11:J11"/>
    <mergeCell ref="A14:J14"/>
    <mergeCell ref="A16:H17"/>
    <mergeCell ref="I16:I17"/>
    <mergeCell ref="J16:J17"/>
    <mergeCell ref="L16:N17"/>
    <mergeCell ref="L22:N22"/>
    <mergeCell ref="A27:H27"/>
    <mergeCell ref="P16:P17"/>
    <mergeCell ref="Q16:Q17"/>
    <mergeCell ref="A18:H18"/>
    <mergeCell ref="L18:N18"/>
    <mergeCell ref="A19:H19"/>
    <mergeCell ref="L19:N19"/>
    <mergeCell ref="O16:O17"/>
    <mergeCell ref="B29:J29"/>
    <mergeCell ref="A31:J31"/>
    <mergeCell ref="D32:D33"/>
    <mergeCell ref="E32:G32"/>
    <mergeCell ref="H32:H33"/>
    <mergeCell ref="E33:G33"/>
    <mergeCell ref="A6:B6"/>
    <mergeCell ref="C5:J5"/>
    <mergeCell ref="C6:J6"/>
    <mergeCell ref="A26:H26"/>
    <mergeCell ref="L26:N26"/>
    <mergeCell ref="A23:H23"/>
    <mergeCell ref="L23:N23"/>
    <mergeCell ref="A24:H24"/>
    <mergeCell ref="L24:N24"/>
    <mergeCell ref="A25:H25"/>
    <mergeCell ref="L25:N25"/>
    <mergeCell ref="A20:H20"/>
    <mergeCell ref="L20:N20"/>
    <mergeCell ref="A21:H21"/>
    <mergeCell ref="L21:N21"/>
    <mergeCell ref="A22:H22"/>
  </mergeCells>
  <conditionalFormatting sqref="A27:J27">
    <cfRule type="expression" dxfId="3" priority="1" stopIfTrue="1">
      <formula>DESONERACAO="não"</formula>
    </cfRule>
  </conditionalFormatting>
  <conditionalFormatting sqref="J26">
    <cfRule type="expression" dxfId="2" priority="4" stopIfTrue="1">
      <formula>DESONERACAO="não"</formula>
    </cfRule>
  </conditionalFormatting>
  <conditionalFormatting sqref="L26:N26">
    <cfRule type="expression" dxfId="1" priority="2" stopIfTrue="1">
      <formula>AND(L26&lt;&gt;"OK",L26&lt;&gt;"-",L26&lt;&gt;"")</formula>
    </cfRule>
    <cfRule type="cellIs" dxfId="0" priority="3" stopIfTrue="1" operator="equal">
      <formula>"OK"</formula>
    </cfRule>
  </conditionalFormatting>
  <dataValidations count="6">
    <dataValidation type="list" allowBlank="1" showErrorMessage="1" sqref="A14:J14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I7:J7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I8:J8">
      <formula1>0</formula1>
      <formula2>0</formula2>
    </dataValidation>
    <dataValidation operator="greaterThanOrEqual" allowBlank="1" showErrorMessage="1" errorTitle="Erro de valores" error="Digite um valor igual a 0% ou 2%." sqref="J25">
      <formula1>0</formula1>
      <formula2>0</formula2>
    </dataValidation>
    <dataValidation type="decimal" allowBlank="1" showErrorMessage="1" errorTitle="Erro de valores" error="Digite um valor maior do que 0." sqref="J24">
      <formula1>0</formula1>
      <formula2>1</formula2>
    </dataValidation>
    <dataValidation type="decimal" allowBlank="1" showErrorMessage="1" errorTitle="Erro de valores" error="Digite um valor entre 0% e 100%" sqref="J18:J23">
      <formula1>0</formula1>
      <formula2>1</formula2>
    </dataValidation>
  </dataValidations>
  <pageMargins left="0.51181102362204722" right="0.51181102362204722" top="0.78740157480314965" bottom="0.78740157480314965" header="0.31496062992125984" footer="0.31496062992125984"/>
  <pageSetup paperSize="9" scale="81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RELATÓRIO FOTOGRÁFICO</vt:lpstr>
      <vt:lpstr>MEMÓRIA DE CÁLCULO</vt:lpstr>
      <vt:lpstr>ORÇAMENTO</vt:lpstr>
      <vt:lpstr>COTAÇÃO</vt:lpstr>
      <vt:lpstr>CRONOGRAMA</vt:lpstr>
      <vt:lpstr>BDI</vt:lpstr>
      <vt:lpstr>BDI!Area_de_impressao</vt:lpstr>
      <vt:lpstr>CRONOGRAMA!Area_de_impressao</vt:lpstr>
      <vt:lpstr>'MEMÓRIA DE CÁLCULO'!Area_de_impressao</vt:lpstr>
      <vt:lpstr>ORÇAMENTO!Area_de_impressao</vt:lpstr>
      <vt:lpstr>'RELATÓRIO FOTOGRÁFICO'!Area_de_impressao</vt:lpstr>
      <vt:lpstr>'MEMÓRIA DE CÁLCULO'!Titulos_de_impressao</vt:lpstr>
      <vt:lpstr>ORÇAMENTO!Titulos_de_impressao</vt:lpstr>
      <vt:lpstr>'RELATÓRIO FOTOGRÁFICO'!Titulos_de_impressao</vt:lpstr>
    </vt:vector>
  </TitlesOfParts>
  <Company>PNUD/BRA/00/027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Licitação</cp:lastModifiedBy>
  <cp:lastPrinted>2024-07-29T18:17:47Z</cp:lastPrinted>
  <dcterms:created xsi:type="dcterms:W3CDTF">2005-05-06T14:48:20Z</dcterms:created>
  <dcterms:modified xsi:type="dcterms:W3CDTF">2024-09-11T12:26:37Z</dcterms:modified>
</cp:coreProperties>
</file>