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RVIÇOS\CRECHE AVE MARIA - PROJETO ELETRICO\"/>
    </mc:Choice>
  </mc:AlternateContent>
  <xr:revisionPtr revIDLastSave="0" documentId="13_ncr:1_{B802F92D-6B79-40BF-B381-B75BC786E0C7}" xr6:coauthVersionLast="47" xr6:coauthVersionMax="47" xr10:uidLastSave="{00000000-0000-0000-0000-000000000000}"/>
  <bookViews>
    <workbookView xWindow="-120" yWindow="-120" windowWidth="24240" windowHeight="13140" tabRatio="695" activeTab="4" xr2:uid="{00000000-000D-0000-FFFF-FFFF00000000}"/>
  </bookViews>
  <sheets>
    <sheet name="Carga de Iluminação" sheetId="1" r:id="rId1"/>
    <sheet name="PTUG e PTUE" sheetId="2" r:id="rId2"/>
    <sheet name="Potencia Ilumin.PTUG E PTUE" sheetId="3" r:id="rId3"/>
    <sheet name="Demanda Provável VA" sheetId="6" r:id="rId4"/>
    <sheet name="Divisão, Carga, seçao Circultos" sheetId="4" r:id="rId5"/>
  </sheets>
  <definedNames>
    <definedName name="_xlnm.Print_Area" localSheetId="0">'Carga de Iluminação'!$A$1:$D$19</definedName>
    <definedName name="_xlnm.Print_Area" localSheetId="4">'Divisão, Carga, seçao Circultos'!$A$1:$N$50</definedName>
    <definedName name="_xlnm.Print_Area" localSheetId="2">'Potencia Ilumin.PTUG E PTUE'!#REF!</definedName>
    <definedName name="_xlnm.Print_Area" localSheetId="1">'PTUG e PTUE'!$A$1:$M$19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6" l="1"/>
  <c r="B14" i="6"/>
  <c r="B13" i="6"/>
  <c r="B16" i="6" s="1"/>
  <c r="B17" i="6" s="1"/>
  <c r="B28" i="6"/>
  <c r="F28" i="6" s="1"/>
  <c r="B27" i="6"/>
  <c r="F27" i="6" s="1"/>
  <c r="B26" i="6"/>
  <c r="F26" i="6" s="1"/>
  <c r="F29" i="6" s="1"/>
  <c r="F30" i="6" s="1"/>
  <c r="F31" i="4"/>
  <c r="E33" i="6" l="1"/>
  <c r="B29" i="6"/>
  <c r="B39" i="6" s="1"/>
  <c r="B40" i="6" s="1"/>
  <c r="B30" i="6" l="1"/>
  <c r="G22" i="3" l="1"/>
  <c r="U22" i="2"/>
  <c r="F25" i="4"/>
  <c r="F45" i="4"/>
  <c r="G45" i="4" s="1"/>
  <c r="G40" i="4"/>
  <c r="G41" i="4"/>
  <c r="G39" i="4"/>
  <c r="F38" i="4"/>
  <c r="G38" i="4" s="1"/>
  <c r="G28" i="3"/>
  <c r="U28" i="2"/>
  <c r="G36" i="4"/>
  <c r="G37" i="4"/>
  <c r="G30" i="4"/>
  <c r="F29" i="4"/>
  <c r="G29" i="4" s="1"/>
  <c r="F28" i="4"/>
  <c r="G28" i="4" s="1"/>
  <c r="F27" i="4"/>
  <c r="G27" i="4" s="1"/>
  <c r="F26" i="4"/>
  <c r="G26" i="4" s="1"/>
  <c r="F44" i="4"/>
  <c r="G44" i="4" s="1"/>
  <c r="F43" i="4"/>
  <c r="G43" i="4" s="1"/>
  <c r="F42" i="4"/>
  <c r="G42" i="4" s="1"/>
  <c r="G35" i="4"/>
  <c r="F34" i="4"/>
  <c r="G34" i="4" s="1"/>
  <c r="G33" i="4"/>
  <c r="F32" i="4"/>
  <c r="G32" i="4" s="1"/>
  <c r="G31" i="4"/>
  <c r="G13" i="3"/>
  <c r="U13" i="2"/>
  <c r="F24" i="4"/>
  <c r="F23" i="4"/>
  <c r="F22" i="4"/>
  <c r="F21" i="4"/>
  <c r="F20" i="4"/>
  <c r="F22" i="3"/>
  <c r="T22" i="2"/>
  <c r="F16" i="4"/>
  <c r="G16" i="4" s="1"/>
  <c r="F19" i="4"/>
  <c r="F18" i="4"/>
  <c r="F17" i="4"/>
  <c r="F15" i="4"/>
  <c r="F14" i="4"/>
  <c r="F13" i="4"/>
  <c r="F12" i="4"/>
  <c r="F11" i="4"/>
  <c r="F10" i="4"/>
  <c r="F9" i="4"/>
  <c r="F29" i="3"/>
  <c r="F28" i="3"/>
  <c r="F27" i="3"/>
  <c r="G26" i="3"/>
  <c r="F26" i="3"/>
  <c r="F25" i="3"/>
  <c r="G24" i="3"/>
  <c r="F24" i="3"/>
  <c r="F23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F13" i="3"/>
  <c r="G12" i="3"/>
  <c r="F12" i="3"/>
  <c r="G11" i="3"/>
  <c r="F11" i="3"/>
  <c r="F10" i="3"/>
  <c r="G9" i="3"/>
  <c r="F9" i="3"/>
  <c r="F8" i="3"/>
  <c r="F50" i="4" l="1"/>
  <c r="F46" i="4"/>
  <c r="Q16" i="4"/>
  <c r="G32" i="3"/>
  <c r="A40" i="3" s="1"/>
  <c r="D40" i="3" s="1"/>
  <c r="F32" i="3"/>
  <c r="A36" i="3" s="1"/>
  <c r="D36" i="3" s="1"/>
  <c r="U32" i="2"/>
  <c r="U26" i="2"/>
  <c r="U24" i="2"/>
  <c r="U18" i="2"/>
  <c r="U19" i="2"/>
  <c r="U20" i="2"/>
  <c r="U21" i="2"/>
  <c r="U17" i="2"/>
  <c r="U16" i="2"/>
  <c r="U15" i="2"/>
  <c r="U14" i="2"/>
  <c r="U12" i="2"/>
  <c r="U9" i="2"/>
  <c r="U11" i="2"/>
  <c r="T32" i="2"/>
  <c r="T29" i="2"/>
  <c r="T28" i="2"/>
  <c r="T27" i="2"/>
  <c r="T26" i="2"/>
  <c r="T25" i="2"/>
  <c r="T24" i="2"/>
  <c r="T23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A43" i="3" l="1"/>
  <c r="D31" i="1"/>
  <c r="D6" i="1"/>
  <c r="D12" i="1" l="1"/>
  <c r="F14" i="6" l="1"/>
  <c r="F13" i="6"/>
  <c r="AD5" i="6"/>
  <c r="AF5" i="6" s="1"/>
  <c r="AF3" i="6"/>
  <c r="AD6" i="6"/>
  <c r="AF6" i="6" s="1"/>
  <c r="AD4" i="6"/>
  <c r="AF4" i="6" s="1"/>
  <c r="AD7" i="6" l="1"/>
  <c r="F15" i="6"/>
  <c r="F16" i="6" s="1"/>
  <c r="AF7" i="6"/>
  <c r="G25" i="4"/>
  <c r="G15" i="4"/>
  <c r="E20" i="6" l="1"/>
  <c r="F39" i="6"/>
  <c r="F40" i="6" s="1"/>
  <c r="F17" i="6"/>
  <c r="G24" i="4"/>
  <c r="G22" i="4"/>
  <c r="G14" i="4"/>
  <c r="G21" i="4"/>
  <c r="G23" i="4"/>
  <c r="G20" i="4"/>
  <c r="G19" i="4"/>
  <c r="G18" i="4"/>
  <c r="G17" i="4"/>
  <c r="G13" i="4"/>
  <c r="G12" i="4"/>
  <c r="G11" i="4"/>
  <c r="G10" i="4"/>
  <c r="G8" i="4"/>
  <c r="G7" i="4"/>
  <c r="G9" i="4"/>
  <c r="G6" i="4" l="1"/>
</calcChain>
</file>

<file path=xl/sharedStrings.xml><?xml version="1.0" encoding="utf-8"?>
<sst xmlns="http://schemas.openxmlformats.org/spreadsheetml/2006/main" count="838" uniqueCount="300">
  <si>
    <t>Dependencia</t>
  </si>
  <si>
    <t>Potencia de Iluminação(VA)</t>
  </si>
  <si>
    <t>Dimensões (m²)</t>
  </si>
  <si>
    <t>Cozinha</t>
  </si>
  <si>
    <t>Total Geral</t>
  </si>
  <si>
    <t>Àrea (m²)</t>
  </si>
  <si>
    <t>Dimensões</t>
  </si>
  <si>
    <t>Pérímetro (m)</t>
  </si>
  <si>
    <t>PTUG´s</t>
  </si>
  <si>
    <t xml:space="preserve">PTUE´s </t>
  </si>
  <si>
    <t>Dependência</t>
  </si>
  <si>
    <t>Estabelecendo a quantidade mínima de pontos de tomadas de uso geral e específico ( PTUG´s e PTUE´s)</t>
  </si>
  <si>
    <t>-</t>
  </si>
  <si>
    <t>Quantidade.mínima</t>
  </si>
  <si>
    <t>1 Chuveiro Elétrico</t>
  </si>
  <si>
    <t>Prevendo as Cargas de pontos de tomadas de uso geral e específico ( PTUG´s e PTUE´s)</t>
  </si>
  <si>
    <t>Previsão de Carga</t>
  </si>
  <si>
    <t>PTUG´s (VA)</t>
  </si>
  <si>
    <t>5*100</t>
  </si>
  <si>
    <t>1*100</t>
  </si>
  <si>
    <t>1*600</t>
  </si>
  <si>
    <t>2*600</t>
  </si>
  <si>
    <t>3*100</t>
  </si>
  <si>
    <t>4*100</t>
  </si>
  <si>
    <t>2*100</t>
  </si>
  <si>
    <t>1*5500</t>
  </si>
  <si>
    <t>1*5.500</t>
  </si>
  <si>
    <t>Potência [W]</t>
  </si>
  <si>
    <t xml:space="preserve">Potência </t>
  </si>
  <si>
    <t>DIVISÃO DOS CIRCUITOS E SUAS RESPECTIVAS CARGAS</t>
  </si>
  <si>
    <t>Circuito</t>
  </si>
  <si>
    <t xml:space="preserve">Nº </t>
  </si>
  <si>
    <t>Tipo</t>
  </si>
  <si>
    <t>Tensão [V]</t>
  </si>
  <si>
    <t>Total [VA]</t>
  </si>
  <si>
    <t>Local</t>
  </si>
  <si>
    <t>Quantidade x potência [VA]</t>
  </si>
  <si>
    <t>Corrente [A]</t>
  </si>
  <si>
    <t>Proteção</t>
  </si>
  <si>
    <t>Nº de pólos</t>
  </si>
  <si>
    <t>Corrente Nominal</t>
  </si>
  <si>
    <t>DTM</t>
  </si>
  <si>
    <t xml:space="preserve">Quadro Medidor </t>
  </si>
  <si>
    <t>Distribuição</t>
  </si>
  <si>
    <t>DTM + IDR</t>
  </si>
  <si>
    <t xml:space="preserve">Total </t>
  </si>
  <si>
    <t xml:space="preserve">Carga Total dos Circuitos </t>
  </si>
  <si>
    <t>DTM +    IDR</t>
  </si>
  <si>
    <t>PTUG</t>
  </si>
  <si>
    <t xml:space="preserve">PTUG </t>
  </si>
  <si>
    <t>PTUE</t>
  </si>
  <si>
    <t>Iluminação   1,5</t>
  </si>
  <si>
    <t>Força         2,5</t>
  </si>
  <si>
    <t>Seção adequada dos Condutores mm²</t>
  </si>
  <si>
    <r>
      <t xml:space="preserve">Tipo decircuito e Seção </t>
    </r>
    <r>
      <rPr>
        <b/>
        <u/>
        <sz val="12"/>
        <color theme="1"/>
        <rFont val="Arial"/>
        <family val="2"/>
      </rPr>
      <t>Mínima</t>
    </r>
    <r>
      <rPr>
        <b/>
        <sz val="12"/>
        <color theme="1"/>
        <rFont val="Arial"/>
        <family val="2"/>
      </rPr>
      <t xml:space="preserve">  condutores . NBR 5410/2004 mm²</t>
    </r>
  </si>
  <si>
    <t>10             25</t>
  </si>
  <si>
    <t>10            25</t>
  </si>
  <si>
    <t>15            25</t>
  </si>
  <si>
    <t>D(kVA) = (d1 + d2 + d3 + d4 + d5 + d6 + d7)   , onde :</t>
  </si>
  <si>
    <t>d1</t>
  </si>
  <si>
    <t>TRANSFORMAÇÃO DA POTÊNCIA TOTAL DE [W] PARA [VA]:</t>
  </si>
  <si>
    <t>Tabela 5</t>
  </si>
  <si>
    <t>d</t>
  </si>
  <si>
    <t>d2</t>
  </si>
  <si>
    <t>d3</t>
  </si>
  <si>
    <t>d5</t>
  </si>
  <si>
    <t xml:space="preserve">Fator Demanda </t>
  </si>
  <si>
    <t>Potência [VA]</t>
  </si>
  <si>
    <t>Potência Considerando o FD [VA]</t>
  </si>
  <si>
    <t>Demanda Provável [VA]</t>
  </si>
  <si>
    <t>=</t>
  </si>
  <si>
    <t>1 +            2</t>
  </si>
  <si>
    <t>1  +          2</t>
  </si>
  <si>
    <t>1 +           2</t>
  </si>
  <si>
    <t>1   +         2</t>
  </si>
  <si>
    <t>1+             2</t>
  </si>
  <si>
    <t>Estacionamento e pátio entrada</t>
  </si>
  <si>
    <t>Área Fachada</t>
  </si>
  <si>
    <t>Circulação</t>
  </si>
  <si>
    <t>Direção</t>
  </si>
  <si>
    <t>Almoxarifado</t>
  </si>
  <si>
    <t>WC Professores</t>
  </si>
  <si>
    <t>Sl Professores</t>
  </si>
  <si>
    <t>Recreação</t>
  </si>
  <si>
    <t>Lavanderia</t>
  </si>
  <si>
    <t>WC Lavanderia</t>
  </si>
  <si>
    <t>Sala 01</t>
  </si>
  <si>
    <t>Sala 02</t>
  </si>
  <si>
    <t>Sala 03</t>
  </si>
  <si>
    <t>Sala 05</t>
  </si>
  <si>
    <t>Sala 06</t>
  </si>
  <si>
    <t>Sala 04</t>
  </si>
  <si>
    <t>Refeitório/Pátio</t>
  </si>
  <si>
    <t>Palco</t>
  </si>
  <si>
    <t>WC Masc.</t>
  </si>
  <si>
    <t>WC Fem.</t>
  </si>
  <si>
    <t>WC PNE Masc.</t>
  </si>
  <si>
    <t>WC PNE Fem.</t>
  </si>
  <si>
    <t>Despensa</t>
  </si>
  <si>
    <t>Cômodo Armário</t>
  </si>
  <si>
    <t>Playgroud</t>
  </si>
  <si>
    <t>CARGA DE ILUMINAÇÃO CRECHE AVE MARIA</t>
  </si>
  <si>
    <t>44,03 = 6+(4*9) + 2,03 logo (100+(60*9))</t>
  </si>
  <si>
    <t>7,20 = 6+1,20 logo ( 100)</t>
  </si>
  <si>
    <t>184,83 = 6+(4*44)+2,83 logo (100+(60*44))</t>
  </si>
  <si>
    <t>34,59 = 6+(4*7)+0,59 logo(100+(60*7))</t>
  </si>
  <si>
    <t>10,87 = 6+4,87 logo ( 100+60)</t>
  </si>
  <si>
    <t>4,42 =  4,42 logo  (100)</t>
  </si>
  <si>
    <t>3,75 = 3,75 logo (100)</t>
  </si>
  <si>
    <t>3,97 = 3,97 logo (100)</t>
  </si>
  <si>
    <t>4,20 = 4,20 logo (100)</t>
  </si>
  <si>
    <t>14,68 = 6+(4*2)+ 0,68 logo (100+(60*2))</t>
  </si>
  <si>
    <t>24,00 = 6+(4*4)+2,00 logo (100+(60*4))</t>
  </si>
  <si>
    <t>83,08 = 6+(4*19) +1,08 logo (100+(60*19))</t>
  </si>
  <si>
    <t>5,55 = 5,55 logo (100)</t>
  </si>
  <si>
    <t>4,73 = 4,73 logo (100)</t>
  </si>
  <si>
    <t>1,92 = 1,92 logo (100)</t>
  </si>
  <si>
    <t>13,95 = 6+4+3,95  logo (100+60)</t>
  </si>
  <si>
    <t>13,95 = 6+4+3,95  logo  (100+60)</t>
  </si>
  <si>
    <t>2,77 = 2,77 logo(100)</t>
  </si>
  <si>
    <t>16,33 = 6+4+4+2,33 logo ( 100+(60*2))</t>
  </si>
  <si>
    <t>75,70 = 6+(4*17)+1,70 logo (100+(60*17))</t>
  </si>
  <si>
    <t>Total</t>
  </si>
  <si>
    <t>1 Ar Cond.Split 10.000 BTU/h</t>
  </si>
  <si>
    <t>1 Ar Cond.Split 7.500 BTU/h</t>
  </si>
  <si>
    <t>5+5+5+5+4                           (1+1+1+1+1) = 5</t>
  </si>
  <si>
    <t>1 Ar Condicionado 12.000 BTU/h</t>
  </si>
  <si>
    <t>1 Máq.Lavar Roupas          1 Maq. Secar Roupas</t>
  </si>
  <si>
    <t>1 Máq.Lavar Roupas               1 Maq. Secar Roupas</t>
  </si>
  <si>
    <t>8*100</t>
  </si>
  <si>
    <t>3*600</t>
  </si>
  <si>
    <t>3*600    2*100</t>
  </si>
  <si>
    <t>1*645</t>
  </si>
  <si>
    <t>PTUE´s (VA)</t>
  </si>
  <si>
    <t>1*160                1*2.027</t>
  </si>
  <si>
    <t xml:space="preserve"> CRECHE AVE MARIA                                                                                                  Cargas de pontos de tomadas de uso geral e específico ( PTUG´s e PTUE´s) PTUE´S de acordo com Tabela 6.1 RECON-BT 2022 Light</t>
  </si>
  <si>
    <t>1*877</t>
  </si>
  <si>
    <t>Potencia Nominal(VA)</t>
  </si>
  <si>
    <t>Carga de Iluminação e Tomada PTUG´s (C1)</t>
  </si>
  <si>
    <t xml:space="preserve"> Potencia Nominal(VA)</t>
  </si>
  <si>
    <t>Carga Total  C1+C2+C3 / KVA</t>
  </si>
  <si>
    <t>Carga Total (KW) = Carga Total (KVA) x 0,92</t>
  </si>
  <si>
    <t>Carga Total C1+C2+C3 / KW</t>
  </si>
  <si>
    <t>Total  (KVA)</t>
  </si>
  <si>
    <t>De acordo com a Light - RECON BT Edição 2022 - Demanda e Dimensionamento para entradas Trifásicas com Neutro</t>
  </si>
  <si>
    <t>D3 (kVA) = demanda de aparelhos de ar condicionado tipo janela e similares (Split, Cassete e Fan Coil), calculada conforme TABELA 6.5 e 6.6 respectivamente, para uso residencial e não residencial.</t>
  </si>
  <si>
    <t>D1(KVA) = Demanda de iluminação e tomadas, calculada conforme fatores de demanda da tabela 6.3</t>
  </si>
  <si>
    <t>D2(kVA) = Demanda dos aparelhos para aquecimento de água (chuveiros,aquecedores, torneiras, etc.) conforme tabela 6.4</t>
  </si>
  <si>
    <t>D1</t>
  </si>
  <si>
    <t>D2</t>
  </si>
  <si>
    <t>D3</t>
  </si>
  <si>
    <t>D</t>
  </si>
  <si>
    <t xml:space="preserve">Carga de aparelhos de Aquecimento(C2) + Ar Condicionado e outros(C3) PTUE´s </t>
  </si>
  <si>
    <t xml:space="preserve">D(kVA) = D(kW)/0,92 </t>
  </si>
  <si>
    <t>Demanda (kVA)</t>
  </si>
  <si>
    <t>Rede Aérea</t>
  </si>
  <si>
    <t>Trifásico</t>
  </si>
  <si>
    <t>Urbano</t>
  </si>
  <si>
    <t>(220 / 127 V)</t>
  </si>
  <si>
    <t>38 &lt; D &lt;= 76</t>
  </si>
  <si>
    <t>Caixa CM200 ou CM200-P sobreposta em poste particular ou semiembutida no muro ou na fachada, ou em recuo técnico, com CPG200 ou CPG200-P voltada preferencialmente para a parte interna da propriedade.</t>
  </si>
  <si>
    <t>Total KVA</t>
  </si>
  <si>
    <t>6.4. EXEMPLO DE ENTRADA INDIVIDUAL AÉREA COM CARGA DE 38,1 KVA ATÉ 76 KVA (125 a 200 AMPERES)</t>
  </si>
  <si>
    <t> Esquemático do padrão de entrada com caixa metálica (CM200 + CPG200)</t>
  </si>
  <si>
    <t>Página 171 Recon BT Edição 2022</t>
  </si>
  <si>
    <t>Tipo de Padrão de Entrada – Medição Direta - Recon BT 2022</t>
  </si>
  <si>
    <t>Iluminação Estacionamento</t>
  </si>
  <si>
    <t xml:space="preserve">1x915                               </t>
  </si>
  <si>
    <t>1x910</t>
  </si>
  <si>
    <t>Iluminação Fachada e circulação</t>
  </si>
  <si>
    <t>Fachada e Circulação</t>
  </si>
  <si>
    <t>1x520                        1x640</t>
  </si>
  <si>
    <t>Iluminação Sl Direção a Sala 03</t>
  </si>
  <si>
    <t>Sl Direção Almoxarifado      Sl Professores WC Professores Sala 01           Sala 02           Sala 03</t>
  </si>
  <si>
    <t>Iluminação Sl Recreação a Sala 04</t>
  </si>
  <si>
    <t>Sl Recreação            Lavanderia             WC Lavanderia      Sl 06                          Sl 05                        Sl 04</t>
  </si>
  <si>
    <t>1x220             1x100                            1x100                                             3x340</t>
  </si>
  <si>
    <t xml:space="preserve">1x100            1x100            1x160            1x100                    3x340                                           </t>
  </si>
  <si>
    <t>Iluminação Refeitório</t>
  </si>
  <si>
    <t>Refeitório/Pátio      Palco</t>
  </si>
  <si>
    <t>1x1240                       1x100</t>
  </si>
  <si>
    <t>Iluminação WC Feminno a Cozinha</t>
  </si>
  <si>
    <t xml:space="preserve">WC Feminino              WC PNE Fem.      WC Masculino       WC PNE Masc.       Cozinha                 Despensa              Armário </t>
  </si>
  <si>
    <t>Iluminação PlayGround</t>
  </si>
  <si>
    <t>Playground</t>
  </si>
  <si>
    <t>PlayGround</t>
  </si>
  <si>
    <t>1x1120</t>
  </si>
  <si>
    <t>Direção      Almoxarifado               Sl Professores            Wc Professores</t>
  </si>
  <si>
    <t>Circulação      Recreação</t>
  </si>
  <si>
    <t>Lavanderia           WC Lavanderia</t>
  </si>
  <si>
    <t>1x600                      1x600</t>
  </si>
  <si>
    <t>SL 01                  SL 02                SL 03</t>
  </si>
  <si>
    <t>SL 06                   SL 05                         SL 04</t>
  </si>
  <si>
    <t>12*100</t>
  </si>
  <si>
    <t>Refeitorio/ Pátio</t>
  </si>
  <si>
    <t>12x100</t>
  </si>
  <si>
    <t xml:space="preserve">WC Feminino              WC PNE Fem.                               </t>
  </si>
  <si>
    <t>2*600               1*600</t>
  </si>
  <si>
    <t>WC Masculino                 WC PNE Masc.</t>
  </si>
  <si>
    <t>Cozinha e Despensa</t>
  </si>
  <si>
    <t>1*600                        2*100                   1*600</t>
  </si>
  <si>
    <t>1*160                  1*2027</t>
  </si>
  <si>
    <t xml:space="preserve">Refeitório/Pátio      </t>
  </si>
  <si>
    <t>WC Feminino</t>
  </si>
  <si>
    <t xml:space="preserve">WC Masculino </t>
  </si>
  <si>
    <t xml:space="preserve">SL Professores        </t>
  </si>
  <si>
    <t>Sl 01</t>
  </si>
  <si>
    <t xml:space="preserve">Direção              </t>
  </si>
  <si>
    <t xml:space="preserve">1*645                     </t>
  </si>
  <si>
    <t>SL 03</t>
  </si>
  <si>
    <t xml:space="preserve">1*877                                 </t>
  </si>
  <si>
    <t xml:space="preserve">SL 02                              </t>
  </si>
  <si>
    <t>SL 05</t>
  </si>
  <si>
    <t>SL 06</t>
  </si>
  <si>
    <t xml:space="preserve">SL 04                              </t>
  </si>
  <si>
    <t xml:space="preserve">1*877                         </t>
  </si>
  <si>
    <t xml:space="preserve">1 Geladeira,            1 Microondas, Freezer                         </t>
  </si>
  <si>
    <t>1 Geladeira,                                     4 Ar Condicionado 12.000 BTU/h</t>
  </si>
  <si>
    <t>1* 73                       4*887</t>
  </si>
  <si>
    <t xml:space="preserve">1 Geladeira,            1 Microondas, Freezer                          </t>
  </si>
  <si>
    <t>1*73                    1*1520                    1*72</t>
  </si>
  <si>
    <t xml:space="preserve">1 Geladeira,            1 Microondas  1 Freezer                          </t>
  </si>
  <si>
    <t>1 Geladeira,                                4 Ar Condicionado 12.000 BTU/h</t>
  </si>
  <si>
    <t xml:space="preserve">1 Geladeira,            1 Microondas, 1 Freezer                          </t>
  </si>
  <si>
    <t xml:space="preserve">1*73                                                          </t>
  </si>
  <si>
    <t>1*73                         1*1.520                1*72</t>
  </si>
  <si>
    <t>Recreação/Circ.</t>
  </si>
  <si>
    <t xml:space="preserve">1x160             1x100          1x160       1x100        1x220         1x100       1x100                                 </t>
  </si>
  <si>
    <t>2 x 100                             1 x 100                      4 x 100                             1 x 600</t>
  </si>
  <si>
    <t>5X100                      5X100                       5X100</t>
  </si>
  <si>
    <t>8x100             3x100</t>
  </si>
  <si>
    <t>2 e 3</t>
  </si>
  <si>
    <t>4 e 12</t>
  </si>
  <si>
    <t>5 e 10</t>
  </si>
  <si>
    <t>6 e 13</t>
  </si>
  <si>
    <t>7 e 15</t>
  </si>
  <si>
    <t>8 e 17</t>
  </si>
  <si>
    <t>9 e 33</t>
  </si>
  <si>
    <t>10 e 5</t>
  </si>
  <si>
    <t>11 e 5</t>
  </si>
  <si>
    <t>12 e 4</t>
  </si>
  <si>
    <t>13 e 6</t>
  </si>
  <si>
    <t>14 e 6</t>
  </si>
  <si>
    <t>15 e 7</t>
  </si>
  <si>
    <t>16 e 20</t>
  </si>
  <si>
    <t>17 e 8</t>
  </si>
  <si>
    <t>18 e 8</t>
  </si>
  <si>
    <t>19 e 40</t>
  </si>
  <si>
    <t>20 e 16</t>
  </si>
  <si>
    <t>23 e 26</t>
  </si>
  <si>
    <t>24 e 25</t>
  </si>
  <si>
    <t>25 e 24</t>
  </si>
  <si>
    <t>26 e 23</t>
  </si>
  <si>
    <t>27 e 30</t>
  </si>
  <si>
    <t>28 e 29</t>
  </si>
  <si>
    <t>29 e 28</t>
  </si>
  <si>
    <t>30 e 27</t>
  </si>
  <si>
    <t>31 e 32</t>
  </si>
  <si>
    <t>33 e 09</t>
  </si>
  <si>
    <t>34 e 35</t>
  </si>
  <si>
    <t>36 e 37</t>
  </si>
  <si>
    <t>38 e 39</t>
  </si>
  <si>
    <t>40 e 19</t>
  </si>
  <si>
    <t>Nº dos circuitos  nos eletrodutos</t>
  </si>
  <si>
    <t xml:space="preserve">Nº de circuitos agrupados por eletroduto </t>
  </si>
  <si>
    <t>CIRCUITO DE DISTRIBUIÇÃO I</t>
  </si>
  <si>
    <t>CIRCUITO DE DISTRIBUIÇÃO II</t>
  </si>
  <si>
    <t>TOTAL CDII</t>
  </si>
  <si>
    <t>TOTAL CDI</t>
  </si>
  <si>
    <t>TOTAL CDI EM KVA</t>
  </si>
  <si>
    <t>Corrente do Circuito de Distribuição I Trifásico  I = DP [VA] /( U*1,73)   [A]</t>
  </si>
  <si>
    <t>Corrente do Circuito de Distribuição II Trifásico  I = DP [VA] /( U*1,73)   [A]</t>
  </si>
  <si>
    <t>I = 21.133/ ( 220*1,73)</t>
  </si>
  <si>
    <t>I = 25.713/ ( 220*1,73)</t>
  </si>
  <si>
    <t xml:space="preserve">TOTAL GERAL DA DEMANDA DOS CIRCUITOS DE DISTRIBUIÇÃO </t>
  </si>
  <si>
    <t>Carga Total(KW) = 62,65 x 0,92</t>
  </si>
  <si>
    <t>Carga Total (KW) = 57,64 KW</t>
  </si>
  <si>
    <t>15             25</t>
  </si>
  <si>
    <t>10           25</t>
  </si>
  <si>
    <t>15           25</t>
  </si>
  <si>
    <t>10                     25</t>
  </si>
  <si>
    <t>10                      25</t>
  </si>
  <si>
    <t>10                        25</t>
  </si>
  <si>
    <t>10                   25</t>
  </si>
  <si>
    <t>25              25</t>
  </si>
  <si>
    <t>10                             25</t>
  </si>
  <si>
    <t>25                      25</t>
  </si>
  <si>
    <t>10                          25</t>
  </si>
  <si>
    <t>10                       25</t>
  </si>
  <si>
    <t>10                               25</t>
  </si>
  <si>
    <t>25                           25</t>
  </si>
  <si>
    <t>10                         25</t>
  </si>
  <si>
    <t>Circuito Distribuição I</t>
  </si>
  <si>
    <t>Circuito Distribuição II</t>
  </si>
  <si>
    <t>1+                2</t>
  </si>
  <si>
    <t>1   +            2</t>
  </si>
  <si>
    <t>1  +         2</t>
  </si>
  <si>
    <t>1  +            2</t>
  </si>
  <si>
    <t>1 +               2</t>
  </si>
  <si>
    <t xml:space="preserve">  2 +                          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</si>
</sst>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trike/>
      <sz val="12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fgColor auto="1"/>
        <bgColor theme="0" tint="-0.14993743705557422"/>
      </patternFill>
    </fill>
    <fill>
      <patternFill patternType="solid">
        <fgColor theme="0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0691854609822"/>
        <bgColor auto="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0" fontId="1" fillId="0" borderId="3" xfId="0" applyFont="1" applyFill="1" applyBorder="1" applyAlignment="1"/>
    <xf numFmtId="0" fontId="1" fillId="0" borderId="0" xfId="0" applyFont="1" applyAlignment="1">
      <alignment horizontal="left" vertical="center"/>
    </xf>
    <xf numFmtId="0" fontId="1" fillId="1" borderId="2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2" fontId="1" fillId="1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right"/>
    </xf>
    <xf numFmtId="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4" fontId="1" fillId="0" borderId="0" xfId="0" applyNumberFormat="1" applyFont="1"/>
    <xf numFmtId="0" fontId="3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1" borderId="5" xfId="0" applyFont="1" applyFill="1" applyBorder="1" applyAlignment="1">
      <alignment horizontal="right"/>
    </xf>
    <xf numFmtId="0" fontId="1" fillId="1" borderId="3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4" fillId="8" borderId="1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/>
    </xf>
    <xf numFmtId="2" fontId="6" fillId="7" borderId="5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2" fontId="7" fillId="7" borderId="12" xfId="0" applyNumberFormat="1" applyFont="1" applyFill="1" applyBorder="1" applyAlignment="1">
      <alignment horizontal="center" vertical="center" wrapText="1"/>
    </xf>
    <xf numFmtId="2" fontId="7" fillId="7" borderId="13" xfId="0" applyNumberFormat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104</xdr:row>
      <xdr:rowOff>0</xdr:rowOff>
    </xdr:from>
    <xdr:to>
      <xdr:col>27</xdr:col>
      <xdr:colOff>180975</xdr:colOff>
      <xdr:row>154</xdr:row>
      <xdr:rowOff>57150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6744950"/>
          <a:ext cx="9324975" cy="910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opLeftCell="A3" workbookViewId="0">
      <selection activeCell="D21" sqref="D21"/>
    </sheetView>
  </sheetViews>
  <sheetFormatPr defaultRowHeight="14.25" x14ac:dyDescent="0.2"/>
  <cols>
    <col min="1" max="1" width="17.5703125" style="1" customWidth="1"/>
    <col min="2" max="2" width="20.42578125" style="77" customWidth="1"/>
    <col min="3" max="3" width="74.5703125" style="1" bestFit="1" customWidth="1"/>
    <col min="4" max="4" width="10.7109375" style="78" bestFit="1" customWidth="1"/>
    <col min="5" max="16384" width="9.140625" style="1"/>
  </cols>
  <sheetData>
    <row r="1" spans="1:6" x14ac:dyDescent="0.2">
      <c r="A1" s="123" t="s">
        <v>101</v>
      </c>
      <c r="B1" s="124"/>
      <c r="C1" s="124"/>
      <c r="D1" s="125"/>
    </row>
    <row r="2" spans="1:6" x14ac:dyDescent="0.2">
      <c r="A2" s="126"/>
      <c r="B2" s="127"/>
      <c r="C2" s="127"/>
      <c r="D2" s="128"/>
    </row>
    <row r="3" spans="1:6" ht="18" x14ac:dyDescent="0.2">
      <c r="A3" s="129"/>
      <c r="B3" s="130"/>
      <c r="C3" s="130"/>
      <c r="D3" s="131"/>
    </row>
    <row r="4" spans="1:6" x14ac:dyDescent="0.2">
      <c r="A4" s="69" t="s">
        <v>0</v>
      </c>
      <c r="B4" s="73" t="s">
        <v>2</v>
      </c>
      <c r="C4" s="121" t="s">
        <v>1</v>
      </c>
      <c r="D4" s="122"/>
    </row>
    <row r="5" spans="1:6" ht="28.5" x14ac:dyDescent="0.2">
      <c r="A5" s="99" t="s">
        <v>76</v>
      </c>
      <c r="B5" s="64">
        <v>184.83</v>
      </c>
      <c r="C5" s="72" t="s">
        <v>104</v>
      </c>
      <c r="D5" s="105">
        <v>2740</v>
      </c>
    </row>
    <row r="6" spans="1:6" x14ac:dyDescent="0.2">
      <c r="A6" s="100" t="s">
        <v>77</v>
      </c>
      <c r="B6" s="64">
        <v>34.590000000000003</v>
      </c>
      <c r="C6" s="71" t="s">
        <v>105</v>
      </c>
      <c r="D6" s="104">
        <f>(100+(60*7))</f>
        <v>520</v>
      </c>
    </row>
    <row r="7" spans="1:6" x14ac:dyDescent="0.2">
      <c r="A7" s="100" t="s">
        <v>78</v>
      </c>
      <c r="B7" s="64">
        <v>44.03</v>
      </c>
      <c r="C7" s="71" t="s">
        <v>102</v>
      </c>
      <c r="D7" s="104">
        <v>640</v>
      </c>
    </row>
    <row r="8" spans="1:6" x14ac:dyDescent="0.2">
      <c r="A8" s="100" t="s">
        <v>79</v>
      </c>
      <c r="B8" s="64">
        <v>7.2</v>
      </c>
      <c r="C8" s="71" t="s">
        <v>103</v>
      </c>
      <c r="D8" s="104">
        <v>100</v>
      </c>
    </row>
    <row r="9" spans="1:6" x14ac:dyDescent="0.2">
      <c r="A9" s="100" t="s">
        <v>80</v>
      </c>
      <c r="B9" s="64">
        <v>4.42</v>
      </c>
      <c r="C9" s="71" t="s">
        <v>107</v>
      </c>
      <c r="D9" s="104">
        <v>100</v>
      </c>
    </row>
    <row r="10" spans="1:6" x14ac:dyDescent="0.2">
      <c r="A10" s="100" t="s">
        <v>82</v>
      </c>
      <c r="B10" s="64">
        <v>10.87</v>
      </c>
      <c r="C10" s="71" t="s">
        <v>106</v>
      </c>
      <c r="D10" s="104">
        <v>160</v>
      </c>
    </row>
    <row r="11" spans="1:6" x14ac:dyDescent="0.2">
      <c r="A11" s="100" t="s">
        <v>81</v>
      </c>
      <c r="B11" s="64">
        <v>3.75</v>
      </c>
      <c r="C11" s="71" t="s">
        <v>108</v>
      </c>
      <c r="D11" s="104">
        <v>100</v>
      </c>
      <c r="F11" s="93"/>
    </row>
    <row r="12" spans="1:6" x14ac:dyDescent="0.2">
      <c r="A12" s="100" t="s">
        <v>226</v>
      </c>
      <c r="B12" s="64">
        <v>14.68</v>
      </c>
      <c r="C12" s="71" t="s">
        <v>111</v>
      </c>
      <c r="D12" s="104">
        <f>100+60+60</f>
        <v>220</v>
      </c>
    </row>
    <row r="13" spans="1:6" x14ac:dyDescent="0.2">
      <c r="A13" s="100" t="s">
        <v>84</v>
      </c>
      <c r="B13" s="64">
        <v>3.97</v>
      </c>
      <c r="C13" s="71" t="s">
        <v>109</v>
      </c>
      <c r="D13" s="104">
        <v>100</v>
      </c>
    </row>
    <row r="14" spans="1:6" x14ac:dyDescent="0.2">
      <c r="A14" s="100" t="s">
        <v>85</v>
      </c>
      <c r="B14" s="64">
        <v>4.2</v>
      </c>
      <c r="C14" s="71" t="s">
        <v>110</v>
      </c>
      <c r="D14" s="104">
        <v>100</v>
      </c>
    </row>
    <row r="15" spans="1:6" x14ac:dyDescent="0.2">
      <c r="A15" s="100" t="s">
        <v>86</v>
      </c>
      <c r="B15" s="64">
        <v>24</v>
      </c>
      <c r="C15" s="71" t="s">
        <v>112</v>
      </c>
      <c r="D15" s="104">
        <v>340</v>
      </c>
    </row>
    <row r="16" spans="1:6" x14ac:dyDescent="0.2">
      <c r="A16" s="100" t="s">
        <v>87</v>
      </c>
      <c r="B16" s="64">
        <v>24</v>
      </c>
      <c r="C16" s="71" t="s">
        <v>112</v>
      </c>
      <c r="D16" s="104">
        <v>340</v>
      </c>
    </row>
    <row r="17" spans="1:9" x14ac:dyDescent="0.2">
      <c r="A17" s="100" t="s">
        <v>88</v>
      </c>
      <c r="B17" s="64">
        <v>24</v>
      </c>
      <c r="C17" s="71" t="s">
        <v>112</v>
      </c>
      <c r="D17" s="104">
        <v>340</v>
      </c>
    </row>
    <row r="18" spans="1:9" x14ac:dyDescent="0.2">
      <c r="A18" s="100" t="s">
        <v>91</v>
      </c>
      <c r="B18" s="64">
        <v>24</v>
      </c>
      <c r="C18" s="71" t="s">
        <v>112</v>
      </c>
      <c r="D18" s="104">
        <v>340</v>
      </c>
    </row>
    <row r="19" spans="1:9" x14ac:dyDescent="0.2">
      <c r="A19" s="101" t="s">
        <v>89</v>
      </c>
      <c r="B19" s="64">
        <v>24</v>
      </c>
      <c r="C19" s="71" t="s">
        <v>112</v>
      </c>
      <c r="D19" s="104">
        <v>340</v>
      </c>
    </row>
    <row r="20" spans="1:9" x14ac:dyDescent="0.2">
      <c r="A20" s="102" t="s">
        <v>90</v>
      </c>
      <c r="B20" s="74">
        <v>24</v>
      </c>
      <c r="C20" s="71" t="s">
        <v>112</v>
      </c>
      <c r="D20" s="105">
        <v>340</v>
      </c>
      <c r="I20" s="68"/>
    </row>
    <row r="21" spans="1:9" x14ac:dyDescent="0.2">
      <c r="A21" s="100" t="s">
        <v>92</v>
      </c>
      <c r="B21" s="64">
        <v>83.08</v>
      </c>
      <c r="C21" s="71" t="s">
        <v>113</v>
      </c>
      <c r="D21" s="104">
        <v>1240</v>
      </c>
    </row>
    <row r="22" spans="1:9" x14ac:dyDescent="0.2">
      <c r="A22" s="100" t="s">
        <v>93</v>
      </c>
      <c r="B22" s="64">
        <v>5.55</v>
      </c>
      <c r="C22" s="71" t="s">
        <v>114</v>
      </c>
      <c r="D22" s="104">
        <v>100</v>
      </c>
    </row>
    <row r="23" spans="1:9" x14ac:dyDescent="0.2">
      <c r="A23" s="100" t="s">
        <v>94</v>
      </c>
      <c r="B23" s="64">
        <v>13.95</v>
      </c>
      <c r="C23" s="71" t="s">
        <v>117</v>
      </c>
      <c r="D23" s="104">
        <v>160</v>
      </c>
    </row>
    <row r="24" spans="1:9" x14ac:dyDescent="0.2">
      <c r="A24" s="100" t="s">
        <v>96</v>
      </c>
      <c r="B24" s="64">
        <v>2.77</v>
      </c>
      <c r="C24" s="71" t="s">
        <v>119</v>
      </c>
      <c r="D24" s="104">
        <v>100</v>
      </c>
    </row>
    <row r="25" spans="1:9" x14ac:dyDescent="0.2">
      <c r="A25" s="100" t="s">
        <v>95</v>
      </c>
      <c r="B25" s="64">
        <v>13.95</v>
      </c>
      <c r="C25" s="71" t="s">
        <v>118</v>
      </c>
      <c r="D25" s="104">
        <v>160</v>
      </c>
    </row>
    <row r="26" spans="1:9" x14ac:dyDescent="0.2">
      <c r="A26" s="100" t="s">
        <v>97</v>
      </c>
      <c r="B26" s="64">
        <v>2.77</v>
      </c>
      <c r="C26" s="71" t="s">
        <v>119</v>
      </c>
      <c r="D26" s="104">
        <v>100</v>
      </c>
    </row>
    <row r="27" spans="1:9" x14ac:dyDescent="0.2">
      <c r="A27" s="101" t="s">
        <v>3</v>
      </c>
      <c r="B27" s="75">
        <v>16.329999999999998</v>
      </c>
      <c r="C27" s="67" t="s">
        <v>120</v>
      </c>
      <c r="D27" s="104">
        <v>220</v>
      </c>
    </row>
    <row r="28" spans="1:9" x14ac:dyDescent="0.2">
      <c r="A28" s="101" t="s">
        <v>98</v>
      </c>
      <c r="B28" s="75">
        <v>4.7300000000000004</v>
      </c>
      <c r="C28" s="67" t="s">
        <v>115</v>
      </c>
      <c r="D28" s="104">
        <v>100</v>
      </c>
    </row>
    <row r="29" spans="1:9" x14ac:dyDescent="0.2">
      <c r="A29" s="100" t="s">
        <v>99</v>
      </c>
      <c r="B29" s="64">
        <v>1.92</v>
      </c>
      <c r="C29" s="71" t="s">
        <v>116</v>
      </c>
      <c r="D29" s="104">
        <v>100</v>
      </c>
    </row>
    <row r="30" spans="1:9" x14ac:dyDescent="0.2">
      <c r="A30" s="70" t="s">
        <v>184</v>
      </c>
      <c r="B30" s="64">
        <v>75.7</v>
      </c>
      <c r="C30" s="71" t="s">
        <v>121</v>
      </c>
      <c r="D30" s="104">
        <v>1120</v>
      </c>
    </row>
    <row r="31" spans="1:9" x14ac:dyDescent="0.2">
      <c r="A31" s="3"/>
      <c r="B31" s="76"/>
      <c r="C31" s="79" t="s">
        <v>122</v>
      </c>
      <c r="D31" s="103">
        <f>SUM(D5:D30)</f>
        <v>10220</v>
      </c>
    </row>
  </sheetData>
  <mergeCells count="3">
    <mergeCell ref="C4:D4"/>
    <mergeCell ref="A1:D2"/>
    <mergeCell ref="A3:D3"/>
  </mergeCells>
  <pageMargins left="0.51181102362204722" right="0.1181102362204724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"/>
  <sheetViews>
    <sheetView showGridLines="0" workbookViewId="0">
      <selection activeCell="F32" sqref="F32"/>
    </sheetView>
  </sheetViews>
  <sheetFormatPr defaultRowHeight="15" x14ac:dyDescent="0.25"/>
  <cols>
    <col min="1" max="1" width="16.42578125" style="7" customWidth="1"/>
    <col min="2" max="2" width="13.85546875" style="65" customWidth="1"/>
    <col min="3" max="3" width="14.140625" style="66" customWidth="1"/>
    <col min="4" max="4" width="27" style="7" customWidth="1"/>
    <col min="5" max="5" width="13.85546875" style="13" customWidth="1"/>
    <col min="6" max="6" width="9.7109375" style="7" customWidth="1"/>
    <col min="7" max="7" width="18.7109375" style="7" customWidth="1"/>
    <col min="8" max="8" width="10.28515625" style="7" customWidth="1"/>
    <col min="9" max="9" width="16.42578125" style="7" customWidth="1"/>
    <col min="10" max="10" width="9" style="7" customWidth="1"/>
    <col min="11" max="11" width="16.5703125" style="7" customWidth="1"/>
    <col min="12" max="12" width="13.7109375" style="7" customWidth="1"/>
    <col min="13" max="13" width="15.28515625" style="7" customWidth="1"/>
    <col min="14" max="14" width="6.7109375" style="7" customWidth="1"/>
    <col min="15" max="15" width="19.140625" style="7" customWidth="1"/>
    <col min="16" max="16" width="14.28515625" style="7" customWidth="1"/>
    <col min="17" max="17" width="17.42578125" style="7" customWidth="1"/>
    <col min="18" max="18" width="12.42578125" style="7" customWidth="1"/>
    <col min="19" max="19" width="15.28515625" style="7" customWidth="1"/>
    <col min="20" max="20" width="13.140625" style="7" customWidth="1"/>
    <col min="21" max="21" width="13.28515625" style="7" customWidth="1"/>
    <col min="22" max="16384" width="9.140625" style="7"/>
  </cols>
  <sheetData>
    <row r="1" spans="1:21" ht="15" customHeight="1" x14ac:dyDescent="0.25">
      <c r="A1" s="144" t="s">
        <v>11</v>
      </c>
      <c r="B1" s="145"/>
      <c r="C1" s="145"/>
      <c r="D1" s="145"/>
      <c r="E1" s="146"/>
      <c r="G1" s="135" t="s">
        <v>15</v>
      </c>
      <c r="H1" s="136"/>
      <c r="I1" s="136"/>
      <c r="J1" s="136"/>
      <c r="K1" s="136"/>
      <c r="L1" s="136"/>
      <c r="M1" s="136"/>
      <c r="O1" s="135" t="s">
        <v>135</v>
      </c>
      <c r="P1" s="136"/>
      <c r="Q1" s="136"/>
      <c r="R1" s="136"/>
      <c r="S1" s="136"/>
      <c r="T1" s="136"/>
      <c r="U1" s="136"/>
    </row>
    <row r="2" spans="1:21" ht="41.25" customHeight="1" x14ac:dyDescent="0.25">
      <c r="A2" s="147"/>
      <c r="B2" s="148"/>
      <c r="C2" s="148"/>
      <c r="D2" s="148"/>
      <c r="E2" s="149"/>
      <c r="G2" s="135"/>
      <c r="H2" s="136"/>
      <c r="I2" s="136"/>
      <c r="J2" s="136"/>
      <c r="K2" s="136"/>
      <c r="L2" s="136"/>
      <c r="M2" s="136"/>
      <c r="O2" s="135"/>
      <c r="P2" s="136"/>
      <c r="Q2" s="136"/>
      <c r="R2" s="136"/>
      <c r="S2" s="136"/>
      <c r="T2" s="136"/>
      <c r="U2" s="136"/>
    </row>
    <row r="3" spans="1:21" ht="18" x14ac:dyDescent="0.25">
      <c r="A3" s="150"/>
      <c r="B3" s="151"/>
      <c r="C3" s="151"/>
      <c r="D3" s="151"/>
      <c r="E3" s="152"/>
      <c r="G3" s="137"/>
      <c r="H3" s="138"/>
      <c r="I3" s="138"/>
      <c r="J3" s="138"/>
      <c r="K3" s="138"/>
      <c r="L3" s="138"/>
      <c r="M3" s="138"/>
      <c r="O3" s="137"/>
      <c r="P3" s="138"/>
      <c r="Q3" s="138"/>
      <c r="R3" s="138"/>
      <c r="S3" s="138"/>
      <c r="T3" s="138"/>
      <c r="U3" s="138"/>
    </row>
    <row r="4" spans="1:21" x14ac:dyDescent="0.25">
      <c r="A4" s="153" t="s">
        <v>10</v>
      </c>
      <c r="B4" s="142" t="s">
        <v>6</v>
      </c>
      <c r="C4" s="143"/>
      <c r="D4" s="139" t="s">
        <v>13</v>
      </c>
      <c r="E4" s="141"/>
      <c r="G4" s="91" t="s">
        <v>10</v>
      </c>
      <c r="H4" s="139" t="s">
        <v>6</v>
      </c>
      <c r="I4" s="140"/>
      <c r="J4" s="139" t="s">
        <v>13</v>
      </c>
      <c r="K4" s="141"/>
      <c r="L4" s="139" t="s">
        <v>16</v>
      </c>
      <c r="M4" s="141"/>
      <c r="O4" s="91" t="s">
        <v>10</v>
      </c>
      <c r="P4" s="139" t="s">
        <v>6</v>
      </c>
      <c r="Q4" s="140"/>
      <c r="R4" s="139" t="s">
        <v>13</v>
      </c>
      <c r="S4" s="141"/>
      <c r="T4" s="139" t="s">
        <v>16</v>
      </c>
      <c r="U4" s="141"/>
    </row>
    <row r="5" spans="1:21" ht="30" x14ac:dyDescent="0.25">
      <c r="A5" s="154"/>
      <c r="B5" s="88" t="s">
        <v>5</v>
      </c>
      <c r="C5" s="88" t="s">
        <v>7</v>
      </c>
      <c r="D5" s="89" t="s">
        <v>8</v>
      </c>
      <c r="E5" s="90" t="s">
        <v>9</v>
      </c>
      <c r="G5" s="92"/>
      <c r="H5" s="91" t="s">
        <v>5</v>
      </c>
      <c r="I5" s="91" t="s">
        <v>7</v>
      </c>
      <c r="J5" s="89" t="s">
        <v>8</v>
      </c>
      <c r="K5" s="90" t="s">
        <v>9</v>
      </c>
      <c r="L5" s="89" t="s">
        <v>17</v>
      </c>
      <c r="M5" s="90" t="s">
        <v>133</v>
      </c>
      <c r="O5" s="92"/>
      <c r="P5" s="91" t="s">
        <v>5</v>
      </c>
      <c r="Q5" s="91" t="s">
        <v>7</v>
      </c>
      <c r="R5" s="89" t="s">
        <v>8</v>
      </c>
      <c r="S5" s="90" t="s">
        <v>9</v>
      </c>
      <c r="T5" s="89" t="s">
        <v>17</v>
      </c>
      <c r="U5" s="90" t="s">
        <v>133</v>
      </c>
    </row>
    <row r="6" spans="1:21" ht="28.5" x14ac:dyDescent="0.25">
      <c r="A6" s="28" t="s">
        <v>76</v>
      </c>
      <c r="B6" s="64">
        <v>184.83</v>
      </c>
      <c r="C6" s="64">
        <v>55.64</v>
      </c>
      <c r="D6" s="9" t="s">
        <v>12</v>
      </c>
      <c r="E6" s="6" t="s">
        <v>12</v>
      </c>
      <c r="G6" s="28" t="s">
        <v>76</v>
      </c>
      <c r="H6" s="9">
        <v>184.83</v>
      </c>
      <c r="I6" s="9">
        <v>55.64</v>
      </c>
      <c r="J6" s="9" t="s">
        <v>12</v>
      </c>
      <c r="K6" s="6" t="s">
        <v>12</v>
      </c>
      <c r="L6" s="9" t="s">
        <v>12</v>
      </c>
      <c r="M6" s="6" t="s">
        <v>12</v>
      </c>
      <c r="O6" s="28" t="s">
        <v>76</v>
      </c>
      <c r="P6" s="9">
        <v>184.83</v>
      </c>
      <c r="Q6" s="9">
        <v>55.64</v>
      </c>
      <c r="R6" s="9" t="s">
        <v>12</v>
      </c>
      <c r="S6" s="6" t="s">
        <v>12</v>
      </c>
      <c r="T6" s="9" t="s">
        <v>12</v>
      </c>
      <c r="U6" s="6" t="s">
        <v>12</v>
      </c>
    </row>
    <row r="7" spans="1:21" x14ac:dyDescent="0.25">
      <c r="A7" s="8" t="s">
        <v>77</v>
      </c>
      <c r="B7" s="64">
        <v>34.590000000000003</v>
      </c>
      <c r="C7" s="64">
        <v>31.97</v>
      </c>
      <c r="D7" s="6" t="s">
        <v>12</v>
      </c>
      <c r="E7" s="6" t="s">
        <v>12</v>
      </c>
      <c r="G7" s="8" t="s">
        <v>77</v>
      </c>
      <c r="H7" s="9">
        <v>34.590000000000003</v>
      </c>
      <c r="I7" s="9">
        <v>31.97</v>
      </c>
      <c r="J7" s="6" t="s">
        <v>12</v>
      </c>
      <c r="K7" s="6" t="s">
        <v>12</v>
      </c>
      <c r="L7" s="6" t="s">
        <v>12</v>
      </c>
      <c r="M7" s="6" t="s">
        <v>12</v>
      </c>
      <c r="O7" s="8" t="s">
        <v>77</v>
      </c>
      <c r="P7" s="9">
        <v>34.590000000000003</v>
      </c>
      <c r="Q7" s="9">
        <v>31.97</v>
      </c>
      <c r="R7" s="6" t="s">
        <v>12</v>
      </c>
      <c r="S7" s="6" t="s">
        <v>12</v>
      </c>
      <c r="T7" s="6" t="s">
        <v>12</v>
      </c>
      <c r="U7" s="6" t="s">
        <v>12</v>
      </c>
    </row>
    <row r="8" spans="1:21" x14ac:dyDescent="0.25">
      <c r="A8" s="8" t="s">
        <v>78</v>
      </c>
      <c r="B8" s="64">
        <v>44.03</v>
      </c>
      <c r="C8" s="64">
        <v>41.8</v>
      </c>
      <c r="D8" s="6">
        <v>8</v>
      </c>
      <c r="E8" s="6" t="s">
        <v>12</v>
      </c>
      <c r="G8" s="8" t="s">
        <v>78</v>
      </c>
      <c r="H8" s="9">
        <v>44.03</v>
      </c>
      <c r="I8" s="9">
        <v>41.8</v>
      </c>
      <c r="J8" s="6">
        <v>8</v>
      </c>
      <c r="K8" s="6" t="s">
        <v>12</v>
      </c>
      <c r="L8" s="6" t="s">
        <v>129</v>
      </c>
      <c r="M8" s="6" t="s">
        <v>12</v>
      </c>
      <c r="O8" s="239" t="s">
        <v>78</v>
      </c>
      <c r="P8" s="240">
        <v>44.03</v>
      </c>
      <c r="Q8" s="240">
        <v>41.8</v>
      </c>
      <c r="R8" s="106">
        <v>8</v>
      </c>
      <c r="S8" s="106" t="s">
        <v>12</v>
      </c>
      <c r="T8" s="106">
        <f>8*100</f>
        <v>800</v>
      </c>
      <c r="U8" s="106" t="s">
        <v>12</v>
      </c>
    </row>
    <row r="9" spans="1:21" ht="42.75" x14ac:dyDescent="0.25">
      <c r="A9" s="8" t="s">
        <v>79</v>
      </c>
      <c r="B9" s="64">
        <v>7.2</v>
      </c>
      <c r="C9" s="64">
        <v>10.9</v>
      </c>
      <c r="D9" s="6">
        <v>2</v>
      </c>
      <c r="E9" s="6" t="s">
        <v>124</v>
      </c>
      <c r="G9" s="8" t="s">
        <v>79</v>
      </c>
      <c r="H9" s="9">
        <v>7.2</v>
      </c>
      <c r="I9" s="9">
        <v>10.9</v>
      </c>
      <c r="J9" s="6">
        <v>2</v>
      </c>
      <c r="K9" s="6" t="s">
        <v>124</v>
      </c>
      <c r="L9" s="6" t="s">
        <v>24</v>
      </c>
      <c r="M9" s="6" t="s">
        <v>132</v>
      </c>
      <c r="O9" s="239" t="s">
        <v>79</v>
      </c>
      <c r="P9" s="240">
        <v>7.2</v>
      </c>
      <c r="Q9" s="240">
        <v>10.9</v>
      </c>
      <c r="R9" s="106">
        <v>2</v>
      </c>
      <c r="S9" s="106" t="s">
        <v>124</v>
      </c>
      <c r="T9" s="106">
        <f>2*100</f>
        <v>200</v>
      </c>
      <c r="U9" s="106">
        <f>1*645</f>
        <v>645</v>
      </c>
    </row>
    <row r="10" spans="1:21" x14ac:dyDescent="0.25">
      <c r="A10" s="8" t="s">
        <v>80</v>
      </c>
      <c r="B10" s="64">
        <v>4.42</v>
      </c>
      <c r="C10" s="64">
        <v>8.9</v>
      </c>
      <c r="D10" s="6">
        <v>1</v>
      </c>
      <c r="E10" s="6" t="s">
        <v>12</v>
      </c>
      <c r="G10" s="8" t="s">
        <v>80</v>
      </c>
      <c r="H10" s="9">
        <v>4.42</v>
      </c>
      <c r="I10" s="9">
        <v>8.9</v>
      </c>
      <c r="J10" s="6">
        <v>1</v>
      </c>
      <c r="K10" s="6" t="s">
        <v>12</v>
      </c>
      <c r="L10" s="6" t="s">
        <v>19</v>
      </c>
      <c r="M10" s="6" t="s">
        <v>12</v>
      </c>
      <c r="O10" s="239" t="s">
        <v>80</v>
      </c>
      <c r="P10" s="240">
        <v>4.42</v>
      </c>
      <c r="Q10" s="240">
        <v>8.9</v>
      </c>
      <c r="R10" s="106">
        <v>1</v>
      </c>
      <c r="S10" s="106" t="s">
        <v>12</v>
      </c>
      <c r="T10" s="106">
        <f>1*100</f>
        <v>100</v>
      </c>
      <c r="U10" s="106" t="s">
        <v>12</v>
      </c>
    </row>
    <row r="11" spans="1:21" ht="42.75" x14ac:dyDescent="0.25">
      <c r="A11" s="8" t="s">
        <v>82</v>
      </c>
      <c r="B11" s="64">
        <v>10.87</v>
      </c>
      <c r="C11" s="64">
        <v>13.2</v>
      </c>
      <c r="D11" s="6">
        <v>4</v>
      </c>
      <c r="E11" s="6" t="s">
        <v>123</v>
      </c>
      <c r="G11" s="8" t="s">
        <v>82</v>
      </c>
      <c r="H11" s="9">
        <v>10.87</v>
      </c>
      <c r="I11" s="9">
        <v>13.2</v>
      </c>
      <c r="J11" s="6">
        <v>4</v>
      </c>
      <c r="K11" s="6" t="s">
        <v>123</v>
      </c>
      <c r="L11" s="6" t="s">
        <v>23</v>
      </c>
      <c r="M11" s="6" t="s">
        <v>132</v>
      </c>
      <c r="O11" s="239" t="s">
        <v>82</v>
      </c>
      <c r="P11" s="240">
        <v>10.87</v>
      </c>
      <c r="Q11" s="240">
        <v>13.2</v>
      </c>
      <c r="R11" s="106">
        <v>4</v>
      </c>
      <c r="S11" s="106" t="s">
        <v>123</v>
      </c>
      <c r="T11" s="106">
        <f>4*100</f>
        <v>400</v>
      </c>
      <c r="U11" s="106">
        <f>1*645</f>
        <v>645</v>
      </c>
    </row>
    <row r="12" spans="1:21" ht="28.5" x14ac:dyDescent="0.25">
      <c r="A12" s="8" t="s">
        <v>81</v>
      </c>
      <c r="B12" s="64">
        <v>3.75</v>
      </c>
      <c r="C12" s="64">
        <v>8</v>
      </c>
      <c r="D12" s="6">
        <v>1</v>
      </c>
      <c r="E12" s="6" t="s">
        <v>12</v>
      </c>
      <c r="G12" s="8" t="s">
        <v>81</v>
      </c>
      <c r="H12" s="9">
        <v>3.75</v>
      </c>
      <c r="I12" s="9">
        <v>8</v>
      </c>
      <c r="J12" s="6">
        <v>1</v>
      </c>
      <c r="K12" s="6" t="s">
        <v>14</v>
      </c>
      <c r="L12" s="6" t="s">
        <v>20</v>
      </c>
      <c r="M12" s="6" t="s">
        <v>26</v>
      </c>
      <c r="O12" s="239" t="s">
        <v>81</v>
      </c>
      <c r="P12" s="240">
        <v>3.75</v>
      </c>
      <c r="Q12" s="240">
        <v>8</v>
      </c>
      <c r="R12" s="106">
        <v>1</v>
      </c>
      <c r="S12" s="106" t="s">
        <v>14</v>
      </c>
      <c r="T12" s="106">
        <f>1*600</f>
        <v>600</v>
      </c>
      <c r="U12" s="106">
        <f>1*5500</f>
        <v>5500</v>
      </c>
    </row>
    <row r="13" spans="1:21" ht="42.75" x14ac:dyDescent="0.25">
      <c r="A13" s="8" t="s">
        <v>83</v>
      </c>
      <c r="B13" s="64">
        <v>14.68</v>
      </c>
      <c r="C13" s="64">
        <v>15.5</v>
      </c>
      <c r="D13" s="6">
        <v>3</v>
      </c>
      <c r="E13" s="6" t="s">
        <v>123</v>
      </c>
      <c r="G13" s="8" t="s">
        <v>83</v>
      </c>
      <c r="H13" s="9">
        <v>14.68</v>
      </c>
      <c r="I13" s="9">
        <v>15.5</v>
      </c>
      <c r="J13" s="6">
        <v>3</v>
      </c>
      <c r="K13" s="6" t="s">
        <v>123</v>
      </c>
      <c r="L13" s="6" t="s">
        <v>22</v>
      </c>
      <c r="M13" s="6" t="s">
        <v>132</v>
      </c>
      <c r="O13" s="239" t="s">
        <v>83</v>
      </c>
      <c r="P13" s="240">
        <v>14.68</v>
      </c>
      <c r="Q13" s="240">
        <v>15.5</v>
      </c>
      <c r="R13" s="106">
        <v>3</v>
      </c>
      <c r="S13" s="106" t="s">
        <v>123</v>
      </c>
      <c r="T13" s="106">
        <f>3*100</f>
        <v>300</v>
      </c>
      <c r="U13" s="106">
        <f>1*645</f>
        <v>645</v>
      </c>
    </row>
    <row r="14" spans="1:21" ht="57" x14ac:dyDescent="0.25">
      <c r="A14" s="8" t="s">
        <v>84</v>
      </c>
      <c r="B14" s="64">
        <v>3.97</v>
      </c>
      <c r="C14" s="64">
        <v>8.3000000000000007</v>
      </c>
      <c r="D14" s="6">
        <v>1</v>
      </c>
      <c r="E14" s="6" t="s">
        <v>127</v>
      </c>
      <c r="G14" s="8" t="s">
        <v>84</v>
      </c>
      <c r="H14" s="9">
        <v>3.97</v>
      </c>
      <c r="I14" s="9">
        <v>8.3000000000000007</v>
      </c>
      <c r="J14" s="6">
        <v>1</v>
      </c>
      <c r="K14" s="6" t="s">
        <v>128</v>
      </c>
      <c r="L14" s="6" t="s">
        <v>20</v>
      </c>
      <c r="M14" s="6" t="s">
        <v>134</v>
      </c>
      <c r="O14" s="239" t="s">
        <v>84</v>
      </c>
      <c r="P14" s="240">
        <v>3.97</v>
      </c>
      <c r="Q14" s="240">
        <v>8.3000000000000007</v>
      </c>
      <c r="R14" s="106">
        <v>1</v>
      </c>
      <c r="S14" s="106" t="s">
        <v>128</v>
      </c>
      <c r="T14" s="106">
        <f>1*600</f>
        <v>600</v>
      </c>
      <c r="U14" s="106">
        <f>((1*160)+(1*2027))</f>
        <v>2187</v>
      </c>
    </row>
    <row r="15" spans="1:21" ht="28.5" x14ac:dyDescent="0.25">
      <c r="A15" s="8" t="s">
        <v>85</v>
      </c>
      <c r="B15" s="64">
        <v>4.2</v>
      </c>
      <c r="C15" s="64">
        <v>8.6</v>
      </c>
      <c r="D15" s="6">
        <v>1</v>
      </c>
      <c r="E15" s="6" t="s">
        <v>14</v>
      </c>
      <c r="G15" s="8" t="s">
        <v>85</v>
      </c>
      <c r="H15" s="9">
        <v>4.2</v>
      </c>
      <c r="I15" s="9">
        <v>8.6</v>
      </c>
      <c r="J15" s="6">
        <v>1</v>
      </c>
      <c r="K15" s="6" t="s">
        <v>14</v>
      </c>
      <c r="L15" s="6" t="s">
        <v>20</v>
      </c>
      <c r="M15" s="6" t="s">
        <v>25</v>
      </c>
      <c r="O15" s="239" t="s">
        <v>85</v>
      </c>
      <c r="P15" s="240">
        <v>4.2</v>
      </c>
      <c r="Q15" s="240">
        <v>8.6</v>
      </c>
      <c r="R15" s="106">
        <v>1</v>
      </c>
      <c r="S15" s="106" t="s">
        <v>14</v>
      </c>
      <c r="T15" s="106">
        <f>1*600</f>
        <v>600</v>
      </c>
      <c r="U15" s="106">
        <f>1*5500</f>
        <v>5500</v>
      </c>
    </row>
    <row r="16" spans="1:21" ht="57" x14ac:dyDescent="0.25">
      <c r="A16" s="8" t="s">
        <v>86</v>
      </c>
      <c r="B16" s="64">
        <v>24</v>
      </c>
      <c r="C16" s="64">
        <v>19.600000000000001</v>
      </c>
      <c r="D16" s="6" t="s">
        <v>125</v>
      </c>
      <c r="E16" s="6" t="s">
        <v>126</v>
      </c>
      <c r="G16" s="8" t="s">
        <v>86</v>
      </c>
      <c r="H16" s="9">
        <v>24</v>
      </c>
      <c r="I16" s="9">
        <v>19.600000000000001</v>
      </c>
      <c r="J16" s="6" t="s">
        <v>125</v>
      </c>
      <c r="K16" s="6" t="s">
        <v>126</v>
      </c>
      <c r="L16" s="6" t="s">
        <v>18</v>
      </c>
      <c r="M16" s="6" t="s">
        <v>136</v>
      </c>
      <c r="O16" s="239" t="s">
        <v>86</v>
      </c>
      <c r="P16" s="240">
        <v>24</v>
      </c>
      <c r="Q16" s="240">
        <v>19.600000000000001</v>
      </c>
      <c r="R16" s="106" t="s">
        <v>125</v>
      </c>
      <c r="S16" s="106" t="s">
        <v>126</v>
      </c>
      <c r="T16" s="106">
        <f t="shared" ref="T16:T21" si="0">5*100</f>
        <v>500</v>
      </c>
      <c r="U16" s="106">
        <f>1*877</f>
        <v>877</v>
      </c>
    </row>
    <row r="17" spans="1:21" ht="57" x14ac:dyDescent="0.25">
      <c r="A17" s="8" t="s">
        <v>87</v>
      </c>
      <c r="B17" s="64">
        <v>24</v>
      </c>
      <c r="C17" s="64">
        <v>19.600000000000001</v>
      </c>
      <c r="D17" s="6" t="s">
        <v>125</v>
      </c>
      <c r="E17" s="6" t="s">
        <v>126</v>
      </c>
      <c r="G17" s="8" t="s">
        <v>87</v>
      </c>
      <c r="H17" s="9">
        <v>24</v>
      </c>
      <c r="I17" s="9">
        <v>19.600000000000001</v>
      </c>
      <c r="J17" s="6" t="s">
        <v>125</v>
      </c>
      <c r="K17" s="6" t="s">
        <v>126</v>
      </c>
      <c r="L17" s="6" t="s">
        <v>18</v>
      </c>
      <c r="M17" s="6" t="s">
        <v>136</v>
      </c>
      <c r="O17" s="239" t="s">
        <v>87</v>
      </c>
      <c r="P17" s="240">
        <v>24</v>
      </c>
      <c r="Q17" s="240">
        <v>19.600000000000001</v>
      </c>
      <c r="R17" s="106" t="s">
        <v>125</v>
      </c>
      <c r="S17" s="106" t="s">
        <v>126</v>
      </c>
      <c r="T17" s="106">
        <f t="shared" si="0"/>
        <v>500</v>
      </c>
      <c r="U17" s="106">
        <f>1*877</f>
        <v>877</v>
      </c>
    </row>
    <row r="18" spans="1:21" ht="57" x14ac:dyDescent="0.25">
      <c r="A18" s="8" t="s">
        <v>88</v>
      </c>
      <c r="B18" s="64">
        <v>24</v>
      </c>
      <c r="C18" s="64">
        <v>19.600000000000001</v>
      </c>
      <c r="D18" s="6" t="s">
        <v>125</v>
      </c>
      <c r="E18" s="6" t="s">
        <v>126</v>
      </c>
      <c r="G18" s="8" t="s">
        <v>88</v>
      </c>
      <c r="H18" s="9">
        <v>24</v>
      </c>
      <c r="I18" s="9">
        <v>19.600000000000001</v>
      </c>
      <c r="J18" s="6" t="s">
        <v>125</v>
      </c>
      <c r="K18" s="6" t="s">
        <v>126</v>
      </c>
      <c r="L18" s="6" t="s">
        <v>18</v>
      </c>
      <c r="M18" s="6" t="s">
        <v>136</v>
      </c>
      <c r="O18" s="239" t="s">
        <v>88</v>
      </c>
      <c r="P18" s="240">
        <v>24</v>
      </c>
      <c r="Q18" s="240">
        <v>19.600000000000001</v>
      </c>
      <c r="R18" s="106" t="s">
        <v>125</v>
      </c>
      <c r="S18" s="106" t="s">
        <v>126</v>
      </c>
      <c r="T18" s="106">
        <f t="shared" si="0"/>
        <v>500</v>
      </c>
      <c r="U18" s="106">
        <f t="shared" ref="U18:U21" si="1">1*877</f>
        <v>877</v>
      </c>
    </row>
    <row r="19" spans="1:21" ht="57" x14ac:dyDescent="0.25">
      <c r="A19" s="8" t="s">
        <v>91</v>
      </c>
      <c r="B19" s="64">
        <v>24</v>
      </c>
      <c r="C19" s="64">
        <v>19.600000000000001</v>
      </c>
      <c r="D19" s="6" t="s">
        <v>125</v>
      </c>
      <c r="E19" s="6" t="s">
        <v>126</v>
      </c>
      <c r="G19" s="8" t="s">
        <v>91</v>
      </c>
      <c r="H19" s="9">
        <v>24</v>
      </c>
      <c r="I19" s="9">
        <v>19.600000000000001</v>
      </c>
      <c r="J19" s="6" t="s">
        <v>125</v>
      </c>
      <c r="K19" s="6" t="s">
        <v>126</v>
      </c>
      <c r="L19" s="6" t="s">
        <v>18</v>
      </c>
      <c r="M19" s="6" t="s">
        <v>136</v>
      </c>
      <c r="O19" s="239" t="s">
        <v>91</v>
      </c>
      <c r="P19" s="240">
        <v>24</v>
      </c>
      <c r="Q19" s="240">
        <v>19.600000000000001</v>
      </c>
      <c r="R19" s="106" t="s">
        <v>125</v>
      </c>
      <c r="S19" s="106" t="s">
        <v>126</v>
      </c>
      <c r="T19" s="106">
        <f t="shared" si="0"/>
        <v>500</v>
      </c>
      <c r="U19" s="106">
        <f t="shared" si="1"/>
        <v>877</v>
      </c>
    </row>
    <row r="20" spans="1:21" ht="63.75" customHeight="1" x14ac:dyDescent="0.25">
      <c r="A20" s="8" t="s">
        <v>89</v>
      </c>
      <c r="B20" s="64">
        <v>24</v>
      </c>
      <c r="C20" s="64">
        <v>19.600000000000001</v>
      </c>
      <c r="D20" s="6" t="s">
        <v>125</v>
      </c>
      <c r="E20" s="6" t="s">
        <v>126</v>
      </c>
      <c r="G20" s="8" t="s">
        <v>89</v>
      </c>
      <c r="H20" s="9">
        <v>24</v>
      </c>
      <c r="I20" s="9">
        <v>19.600000000000001</v>
      </c>
      <c r="J20" s="6" t="s">
        <v>125</v>
      </c>
      <c r="K20" s="6" t="s">
        <v>126</v>
      </c>
      <c r="L20" s="6" t="s">
        <v>18</v>
      </c>
      <c r="M20" s="6" t="s">
        <v>136</v>
      </c>
      <c r="O20" s="239" t="s">
        <v>89</v>
      </c>
      <c r="P20" s="240">
        <v>24</v>
      </c>
      <c r="Q20" s="240">
        <v>19.600000000000001</v>
      </c>
      <c r="R20" s="106" t="s">
        <v>125</v>
      </c>
      <c r="S20" s="106" t="s">
        <v>126</v>
      </c>
      <c r="T20" s="106">
        <f t="shared" si="0"/>
        <v>500</v>
      </c>
      <c r="U20" s="106">
        <f t="shared" si="1"/>
        <v>877</v>
      </c>
    </row>
    <row r="21" spans="1:21" ht="65.25" customHeight="1" x14ac:dyDescent="0.25">
      <c r="A21" s="8" t="s">
        <v>90</v>
      </c>
      <c r="B21" s="64">
        <v>24</v>
      </c>
      <c r="C21" s="64">
        <v>19.600000000000001</v>
      </c>
      <c r="D21" s="6" t="s">
        <v>125</v>
      </c>
      <c r="E21" s="6" t="s">
        <v>126</v>
      </c>
      <c r="G21" s="8" t="s">
        <v>90</v>
      </c>
      <c r="H21" s="9">
        <v>24</v>
      </c>
      <c r="I21" s="9">
        <v>19.600000000000001</v>
      </c>
      <c r="J21" s="6" t="s">
        <v>125</v>
      </c>
      <c r="K21" s="6" t="s">
        <v>126</v>
      </c>
      <c r="L21" s="6" t="s">
        <v>18</v>
      </c>
      <c r="M21" s="6" t="s">
        <v>136</v>
      </c>
      <c r="O21" s="239" t="s">
        <v>90</v>
      </c>
      <c r="P21" s="240">
        <v>24</v>
      </c>
      <c r="Q21" s="240">
        <v>19.600000000000001</v>
      </c>
      <c r="R21" s="106" t="s">
        <v>125</v>
      </c>
      <c r="S21" s="106" t="s">
        <v>126</v>
      </c>
      <c r="T21" s="106">
        <f t="shared" si="0"/>
        <v>500</v>
      </c>
      <c r="U21" s="106">
        <f t="shared" si="1"/>
        <v>877</v>
      </c>
    </row>
    <row r="22" spans="1:21" ht="57" x14ac:dyDescent="0.25">
      <c r="A22" s="8" t="s">
        <v>92</v>
      </c>
      <c r="B22" s="64">
        <v>83.08</v>
      </c>
      <c r="C22" s="64">
        <v>38.39</v>
      </c>
      <c r="D22" s="6">
        <v>12</v>
      </c>
      <c r="E22" s="6" t="s">
        <v>222</v>
      </c>
      <c r="G22" s="8" t="s">
        <v>92</v>
      </c>
      <c r="H22" s="9">
        <v>83.08</v>
      </c>
      <c r="I22" s="9">
        <v>38.39</v>
      </c>
      <c r="J22" s="6">
        <v>12</v>
      </c>
      <c r="K22" s="6" t="s">
        <v>217</v>
      </c>
      <c r="L22" s="6" t="s">
        <v>193</v>
      </c>
      <c r="M22" s="6" t="s">
        <v>218</v>
      </c>
      <c r="O22" s="239" t="s">
        <v>92</v>
      </c>
      <c r="P22" s="240">
        <v>83.08</v>
      </c>
      <c r="Q22" s="240">
        <v>38.39</v>
      </c>
      <c r="R22" s="106">
        <v>12</v>
      </c>
      <c r="S22" s="106" t="s">
        <v>217</v>
      </c>
      <c r="T22" s="106">
        <f>12*100</f>
        <v>1200</v>
      </c>
      <c r="U22" s="106">
        <f>((1*73)+(4*877))</f>
        <v>3581</v>
      </c>
    </row>
    <row r="23" spans="1:21" x14ac:dyDescent="0.25">
      <c r="A23" s="8" t="s">
        <v>93</v>
      </c>
      <c r="B23" s="64">
        <v>5.55</v>
      </c>
      <c r="C23" s="64">
        <v>6.64</v>
      </c>
      <c r="D23" s="6">
        <v>3</v>
      </c>
      <c r="E23" s="6" t="s">
        <v>12</v>
      </c>
      <c r="G23" s="8" t="s">
        <v>93</v>
      </c>
      <c r="H23" s="9">
        <v>5.55</v>
      </c>
      <c r="I23" s="9">
        <v>6.64</v>
      </c>
      <c r="J23" s="6">
        <v>3</v>
      </c>
      <c r="K23" s="6" t="s">
        <v>12</v>
      </c>
      <c r="L23" s="6" t="s">
        <v>130</v>
      </c>
      <c r="M23" s="6" t="s">
        <v>12</v>
      </c>
      <c r="O23" s="239" t="s">
        <v>93</v>
      </c>
      <c r="P23" s="240">
        <v>5.55</v>
      </c>
      <c r="Q23" s="240">
        <v>6.64</v>
      </c>
      <c r="R23" s="106">
        <v>3</v>
      </c>
      <c r="S23" s="106" t="s">
        <v>12</v>
      </c>
      <c r="T23" s="106">
        <f>3*600</f>
        <v>1800</v>
      </c>
      <c r="U23" s="106" t="s">
        <v>12</v>
      </c>
    </row>
    <row r="24" spans="1:21" ht="28.5" x14ac:dyDescent="0.25">
      <c r="A24" s="8" t="s">
        <v>94</v>
      </c>
      <c r="B24" s="64">
        <v>13.95</v>
      </c>
      <c r="C24" s="64">
        <v>17.7</v>
      </c>
      <c r="D24" s="6">
        <v>2</v>
      </c>
      <c r="E24" s="6" t="s">
        <v>14</v>
      </c>
      <c r="G24" s="8" t="s">
        <v>94</v>
      </c>
      <c r="H24" s="9">
        <v>13.95</v>
      </c>
      <c r="I24" s="9">
        <v>17.7</v>
      </c>
      <c r="J24" s="6">
        <v>2</v>
      </c>
      <c r="K24" s="6" t="s">
        <v>14</v>
      </c>
      <c r="L24" s="6" t="s">
        <v>21</v>
      </c>
      <c r="M24" s="6" t="s">
        <v>26</v>
      </c>
      <c r="O24" s="239" t="s">
        <v>94</v>
      </c>
      <c r="P24" s="240">
        <v>13.95</v>
      </c>
      <c r="Q24" s="240">
        <v>17.7</v>
      </c>
      <c r="R24" s="106">
        <v>2</v>
      </c>
      <c r="S24" s="106" t="s">
        <v>14</v>
      </c>
      <c r="T24" s="106">
        <f>2*600</f>
        <v>1200</v>
      </c>
      <c r="U24" s="106">
        <f>1*5500</f>
        <v>5500</v>
      </c>
    </row>
    <row r="25" spans="1:21" x14ac:dyDescent="0.25">
      <c r="A25" s="12" t="s">
        <v>96</v>
      </c>
      <c r="B25" s="64">
        <v>2.77</v>
      </c>
      <c r="C25" s="64">
        <v>6.7</v>
      </c>
      <c r="D25" s="6">
        <v>1</v>
      </c>
      <c r="E25" s="6" t="s">
        <v>12</v>
      </c>
      <c r="G25" s="12" t="s">
        <v>96</v>
      </c>
      <c r="H25" s="9">
        <v>2.77</v>
      </c>
      <c r="I25" s="9">
        <v>6.7</v>
      </c>
      <c r="J25" s="6">
        <v>1</v>
      </c>
      <c r="K25" s="6" t="s">
        <v>12</v>
      </c>
      <c r="L25" s="6" t="s">
        <v>20</v>
      </c>
      <c r="M25" s="6" t="s">
        <v>12</v>
      </c>
      <c r="O25" s="239" t="s">
        <v>96</v>
      </c>
      <c r="P25" s="240">
        <v>2.77</v>
      </c>
      <c r="Q25" s="240">
        <v>6.7</v>
      </c>
      <c r="R25" s="106">
        <v>1</v>
      </c>
      <c r="S25" s="106" t="s">
        <v>12</v>
      </c>
      <c r="T25" s="106">
        <f>1*600</f>
        <v>600</v>
      </c>
      <c r="U25" s="106" t="s">
        <v>12</v>
      </c>
    </row>
    <row r="26" spans="1:21" ht="28.5" x14ac:dyDescent="0.25">
      <c r="A26" s="12" t="s">
        <v>95</v>
      </c>
      <c r="B26" s="64">
        <v>13.95</v>
      </c>
      <c r="C26" s="64">
        <v>17.7</v>
      </c>
      <c r="D26" s="6">
        <v>2</v>
      </c>
      <c r="E26" s="6" t="s">
        <v>14</v>
      </c>
      <c r="G26" s="12" t="s">
        <v>95</v>
      </c>
      <c r="H26" s="9">
        <v>13.95</v>
      </c>
      <c r="I26" s="9">
        <v>17.7</v>
      </c>
      <c r="J26" s="6">
        <v>2</v>
      </c>
      <c r="K26" s="6" t="s">
        <v>14</v>
      </c>
      <c r="L26" s="6" t="s">
        <v>21</v>
      </c>
      <c r="M26" s="6" t="s">
        <v>26</v>
      </c>
      <c r="O26" s="239" t="s">
        <v>95</v>
      </c>
      <c r="P26" s="240">
        <v>13.95</v>
      </c>
      <c r="Q26" s="240">
        <v>17.7</v>
      </c>
      <c r="R26" s="106">
        <v>2</v>
      </c>
      <c r="S26" s="106" t="s">
        <v>14</v>
      </c>
      <c r="T26" s="106">
        <f>2*600</f>
        <v>1200</v>
      </c>
      <c r="U26" s="106">
        <f>1*5500</f>
        <v>5500</v>
      </c>
    </row>
    <row r="27" spans="1:21" x14ac:dyDescent="0.25">
      <c r="A27" s="12" t="s">
        <v>97</v>
      </c>
      <c r="B27" s="64">
        <v>2.77</v>
      </c>
      <c r="C27" s="64">
        <v>6.7</v>
      </c>
      <c r="D27" s="6">
        <v>1</v>
      </c>
      <c r="E27" s="6" t="s">
        <v>12</v>
      </c>
      <c r="G27" s="12" t="s">
        <v>97</v>
      </c>
      <c r="H27" s="9">
        <v>2.77</v>
      </c>
      <c r="I27" s="9">
        <v>6.7</v>
      </c>
      <c r="J27" s="6">
        <v>1</v>
      </c>
      <c r="K27" s="6" t="s">
        <v>12</v>
      </c>
      <c r="L27" s="6" t="s">
        <v>20</v>
      </c>
      <c r="M27" s="6" t="s">
        <v>12</v>
      </c>
      <c r="O27" s="239" t="s">
        <v>97</v>
      </c>
      <c r="P27" s="240">
        <v>2.77</v>
      </c>
      <c r="Q27" s="240">
        <v>6.7</v>
      </c>
      <c r="R27" s="106">
        <v>1</v>
      </c>
      <c r="S27" s="106" t="s">
        <v>12</v>
      </c>
      <c r="T27" s="106">
        <f>1*600</f>
        <v>600</v>
      </c>
      <c r="U27" s="106" t="s">
        <v>12</v>
      </c>
    </row>
    <row r="28" spans="1:21" ht="42.75" x14ac:dyDescent="0.25">
      <c r="A28" s="12" t="s">
        <v>3</v>
      </c>
      <c r="B28" s="64">
        <v>16.329999999999998</v>
      </c>
      <c r="C28" s="64">
        <v>20.74</v>
      </c>
      <c r="D28" s="6">
        <v>5</v>
      </c>
      <c r="E28" s="6" t="s">
        <v>221</v>
      </c>
      <c r="G28" s="12" t="s">
        <v>3</v>
      </c>
      <c r="H28" s="9">
        <v>16.329999999999998</v>
      </c>
      <c r="I28" s="9">
        <v>20.74</v>
      </c>
      <c r="J28" s="6">
        <v>5</v>
      </c>
      <c r="K28" s="6" t="s">
        <v>219</v>
      </c>
      <c r="L28" s="6" t="s">
        <v>131</v>
      </c>
      <c r="M28" s="6" t="s">
        <v>220</v>
      </c>
      <c r="O28" s="239" t="s">
        <v>3</v>
      </c>
      <c r="P28" s="240">
        <v>16.329999999999998</v>
      </c>
      <c r="Q28" s="240">
        <v>20.74</v>
      </c>
      <c r="R28" s="106">
        <v>5</v>
      </c>
      <c r="S28" s="106" t="s">
        <v>216</v>
      </c>
      <c r="T28" s="106">
        <f>((3*600)+(2*100))</f>
        <v>2000</v>
      </c>
      <c r="U28" s="106">
        <f>((1*73)+(1*1520)+(1*72))</f>
        <v>1665</v>
      </c>
    </row>
    <row r="29" spans="1:21" x14ac:dyDescent="0.25">
      <c r="A29" s="12" t="s">
        <v>98</v>
      </c>
      <c r="B29" s="64">
        <v>4.7300000000000004</v>
      </c>
      <c r="C29" s="64">
        <v>8.27</v>
      </c>
      <c r="D29" s="6">
        <v>1</v>
      </c>
      <c r="E29" s="6" t="s">
        <v>12</v>
      </c>
      <c r="G29" s="12" t="s">
        <v>98</v>
      </c>
      <c r="H29" s="9">
        <v>4.7300000000000004</v>
      </c>
      <c r="I29" s="9">
        <v>8.27</v>
      </c>
      <c r="J29" s="6">
        <v>1</v>
      </c>
      <c r="K29" s="6" t="s">
        <v>12</v>
      </c>
      <c r="L29" s="6" t="s">
        <v>20</v>
      </c>
      <c r="M29" s="6" t="s">
        <v>12</v>
      </c>
      <c r="O29" s="239" t="s">
        <v>98</v>
      </c>
      <c r="P29" s="240">
        <v>4.7300000000000004</v>
      </c>
      <c r="Q29" s="240">
        <v>8.27</v>
      </c>
      <c r="R29" s="106">
        <v>1</v>
      </c>
      <c r="S29" s="106" t="s">
        <v>12</v>
      </c>
      <c r="T29" s="106">
        <f>1*600</f>
        <v>600</v>
      </c>
      <c r="U29" s="106" t="s">
        <v>12</v>
      </c>
    </row>
    <row r="30" spans="1:21" x14ac:dyDescent="0.25">
      <c r="A30" s="12" t="s">
        <v>99</v>
      </c>
      <c r="B30" s="64">
        <v>1.92</v>
      </c>
      <c r="C30" s="64">
        <v>5.7</v>
      </c>
      <c r="D30" s="6" t="s">
        <v>12</v>
      </c>
      <c r="E30" s="6" t="s">
        <v>12</v>
      </c>
      <c r="G30" s="12" t="s">
        <v>99</v>
      </c>
      <c r="H30" s="9">
        <v>1.92</v>
      </c>
      <c r="I30" s="9">
        <v>5.7</v>
      </c>
      <c r="J30" s="6" t="s">
        <v>12</v>
      </c>
      <c r="K30" s="6" t="s">
        <v>12</v>
      </c>
      <c r="L30" s="6" t="s">
        <v>12</v>
      </c>
      <c r="M30" s="6" t="s">
        <v>12</v>
      </c>
      <c r="O30" s="12" t="s">
        <v>99</v>
      </c>
      <c r="P30" s="9">
        <v>1.92</v>
      </c>
      <c r="Q30" s="9">
        <v>5.7</v>
      </c>
      <c r="R30" s="6" t="s">
        <v>12</v>
      </c>
      <c r="S30" s="6" t="s">
        <v>12</v>
      </c>
      <c r="T30" s="6" t="s">
        <v>12</v>
      </c>
      <c r="U30" s="6" t="s">
        <v>12</v>
      </c>
    </row>
    <row r="31" spans="1:21" x14ac:dyDescent="0.25">
      <c r="A31" s="12" t="s">
        <v>100</v>
      </c>
      <c r="B31" s="64">
        <v>75.7</v>
      </c>
      <c r="C31" s="64">
        <v>36.26</v>
      </c>
      <c r="D31" s="6" t="s">
        <v>12</v>
      </c>
      <c r="E31" s="6" t="s">
        <v>12</v>
      </c>
      <c r="G31" s="12" t="s">
        <v>100</v>
      </c>
      <c r="H31" s="9">
        <v>75.7</v>
      </c>
      <c r="I31" s="9">
        <v>36.26</v>
      </c>
      <c r="J31" s="6" t="s">
        <v>12</v>
      </c>
      <c r="K31" s="6" t="s">
        <v>12</v>
      </c>
      <c r="L31" s="6" t="s">
        <v>12</v>
      </c>
      <c r="M31" s="6" t="s">
        <v>12</v>
      </c>
      <c r="O31" s="12" t="s">
        <v>100</v>
      </c>
      <c r="P31" s="9">
        <v>75.7</v>
      </c>
      <c r="Q31" s="9">
        <v>36.26</v>
      </c>
      <c r="R31" s="6" t="s">
        <v>12</v>
      </c>
      <c r="S31" s="6" t="s">
        <v>12</v>
      </c>
      <c r="T31" s="6" t="s">
        <v>12</v>
      </c>
      <c r="U31" s="6" t="s">
        <v>12</v>
      </c>
    </row>
    <row r="32" spans="1:21" x14ac:dyDescent="0.25">
      <c r="A32" s="132" t="s">
        <v>4</v>
      </c>
      <c r="B32" s="133"/>
      <c r="C32" s="134"/>
      <c r="D32" s="10"/>
      <c r="E32" s="11"/>
      <c r="G32" s="132" t="s">
        <v>4</v>
      </c>
      <c r="H32" s="133"/>
      <c r="I32" s="134"/>
      <c r="J32" s="10"/>
      <c r="K32" s="11"/>
      <c r="L32" s="10"/>
      <c r="M32" s="11"/>
      <c r="O32" s="132" t="s">
        <v>4</v>
      </c>
      <c r="P32" s="133"/>
      <c r="Q32" s="134"/>
      <c r="R32" s="10"/>
      <c r="S32" s="11"/>
      <c r="T32" s="10">
        <f>SUM(T6:T31)</f>
        <v>15800</v>
      </c>
      <c r="U32" s="11">
        <f>SUM(U6:U31)</f>
        <v>36630</v>
      </c>
    </row>
    <row r="35" ht="15" customHeight="1" x14ac:dyDescent="0.25"/>
    <row r="36" ht="15" customHeight="1" x14ac:dyDescent="0.25"/>
  </sheetData>
  <mergeCells count="18">
    <mergeCell ref="A32:C32"/>
    <mergeCell ref="B4:C4"/>
    <mergeCell ref="D4:E4"/>
    <mergeCell ref="A1:E2"/>
    <mergeCell ref="A3:E3"/>
    <mergeCell ref="A4:A5"/>
    <mergeCell ref="G1:M2"/>
    <mergeCell ref="G3:M3"/>
    <mergeCell ref="L4:M4"/>
    <mergeCell ref="G32:I32"/>
    <mergeCell ref="H4:I4"/>
    <mergeCell ref="J4:K4"/>
    <mergeCell ref="O32:Q32"/>
    <mergeCell ref="O1:U2"/>
    <mergeCell ref="O3:U3"/>
    <mergeCell ref="P4:Q4"/>
    <mergeCell ref="R4:S4"/>
    <mergeCell ref="T4:U4"/>
  </mergeCells>
  <phoneticPr fontId="11" type="noConversion"/>
  <pageMargins left="1.4960629921259843" right="1.1023622047244095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showGridLines="0" topLeftCell="A26" workbookViewId="0">
      <selection activeCell="A47" sqref="A47:G47"/>
    </sheetView>
  </sheetViews>
  <sheetFormatPr defaultRowHeight="15" x14ac:dyDescent="0.2"/>
  <cols>
    <col min="1" max="1" width="17" style="18" bestFit="1" customWidth="1"/>
    <col min="2" max="2" width="13.28515625" style="18" customWidth="1"/>
    <col min="3" max="3" width="14.85546875" style="18" bestFit="1" customWidth="1"/>
    <col min="4" max="4" width="9" style="18" bestFit="1" customWidth="1"/>
    <col min="5" max="5" width="13.140625" style="18" customWidth="1"/>
    <col min="6" max="6" width="16.42578125" style="18" customWidth="1"/>
    <col min="7" max="7" width="12.85546875" style="18" customWidth="1"/>
    <col min="8" max="16384" width="9.140625" style="18"/>
  </cols>
  <sheetData>
    <row r="1" spans="1:7" x14ac:dyDescent="0.2">
      <c r="A1" s="170" t="s">
        <v>135</v>
      </c>
      <c r="B1" s="170"/>
      <c r="C1" s="170"/>
      <c r="D1" s="170"/>
      <c r="E1" s="170"/>
      <c r="F1" s="170"/>
      <c r="G1" s="170"/>
    </row>
    <row r="2" spans="1:7" x14ac:dyDescent="0.2">
      <c r="A2" s="170"/>
      <c r="B2" s="170"/>
      <c r="C2" s="170"/>
      <c r="D2" s="170"/>
      <c r="E2" s="170"/>
      <c r="F2" s="170"/>
      <c r="G2" s="170"/>
    </row>
    <row r="3" spans="1:7" ht="18" x14ac:dyDescent="0.2">
      <c r="A3" s="137"/>
      <c r="B3" s="138"/>
      <c r="C3" s="138"/>
      <c r="D3" s="138"/>
      <c r="E3" s="138"/>
      <c r="F3" s="138"/>
      <c r="G3" s="138"/>
    </row>
    <row r="4" spans="1:7" x14ac:dyDescent="0.2">
      <c r="A4" s="84" t="s">
        <v>10</v>
      </c>
      <c r="B4" s="165" t="s">
        <v>6</v>
      </c>
      <c r="C4" s="166"/>
      <c r="D4" s="165" t="s">
        <v>13</v>
      </c>
      <c r="E4" s="171"/>
      <c r="F4" s="165" t="s">
        <v>16</v>
      </c>
      <c r="G4" s="171"/>
    </row>
    <row r="5" spans="1:7" ht="30" x14ac:dyDescent="0.2">
      <c r="A5" s="85"/>
      <c r="B5" s="84" t="s">
        <v>5</v>
      </c>
      <c r="C5" s="84" t="s">
        <v>7</v>
      </c>
      <c r="D5" s="86" t="s">
        <v>8</v>
      </c>
      <c r="E5" s="87" t="s">
        <v>9</v>
      </c>
      <c r="F5" s="86" t="s">
        <v>17</v>
      </c>
      <c r="G5" s="87" t="s">
        <v>133</v>
      </c>
    </row>
    <row r="6" spans="1:7" ht="28.5" x14ac:dyDescent="0.2">
      <c r="A6" s="28" t="s">
        <v>76</v>
      </c>
      <c r="B6" s="9">
        <v>184.83</v>
      </c>
      <c r="C6" s="9">
        <v>55.64</v>
      </c>
      <c r="D6" s="9" t="s">
        <v>12</v>
      </c>
      <c r="E6" s="6" t="s">
        <v>12</v>
      </c>
      <c r="F6" s="9" t="s">
        <v>12</v>
      </c>
      <c r="G6" s="6" t="s">
        <v>12</v>
      </c>
    </row>
    <row r="7" spans="1:7" x14ac:dyDescent="0.2">
      <c r="A7" s="8" t="s">
        <v>77</v>
      </c>
      <c r="B7" s="9">
        <v>34.590000000000003</v>
      </c>
      <c r="C7" s="9">
        <v>31.97</v>
      </c>
      <c r="D7" s="6" t="s">
        <v>12</v>
      </c>
      <c r="E7" s="6" t="s">
        <v>12</v>
      </c>
      <c r="F7" s="6" t="s">
        <v>12</v>
      </c>
      <c r="G7" s="6" t="s">
        <v>12</v>
      </c>
    </row>
    <row r="8" spans="1:7" x14ac:dyDescent="0.2">
      <c r="A8" s="8" t="s">
        <v>78</v>
      </c>
      <c r="B8" s="9">
        <v>44.03</v>
      </c>
      <c r="C8" s="9">
        <v>41.8</v>
      </c>
      <c r="D8" s="6">
        <v>8</v>
      </c>
      <c r="E8" s="6" t="s">
        <v>12</v>
      </c>
      <c r="F8" s="6">
        <f>8*100</f>
        <v>800</v>
      </c>
      <c r="G8" s="6" t="s">
        <v>12</v>
      </c>
    </row>
    <row r="9" spans="1:7" ht="42.75" x14ac:dyDescent="0.2">
      <c r="A9" s="8" t="s">
        <v>79</v>
      </c>
      <c r="B9" s="9">
        <v>7.2</v>
      </c>
      <c r="C9" s="9">
        <v>10.9</v>
      </c>
      <c r="D9" s="6">
        <v>2</v>
      </c>
      <c r="E9" s="6" t="s">
        <v>124</v>
      </c>
      <c r="F9" s="6">
        <f>2*100</f>
        <v>200</v>
      </c>
      <c r="G9" s="6">
        <f>1*645</f>
        <v>645</v>
      </c>
    </row>
    <row r="10" spans="1:7" x14ac:dyDescent="0.2">
      <c r="A10" s="8" t="s">
        <v>80</v>
      </c>
      <c r="B10" s="9">
        <v>4.42</v>
      </c>
      <c r="C10" s="9">
        <v>8.9</v>
      </c>
      <c r="D10" s="6">
        <v>1</v>
      </c>
      <c r="E10" s="6" t="s">
        <v>12</v>
      </c>
      <c r="F10" s="6">
        <f>1*100</f>
        <v>100</v>
      </c>
      <c r="G10" s="6" t="s">
        <v>12</v>
      </c>
    </row>
    <row r="11" spans="1:7" ht="57" x14ac:dyDescent="0.2">
      <c r="A11" s="8" t="s">
        <v>82</v>
      </c>
      <c r="B11" s="9">
        <v>10.87</v>
      </c>
      <c r="C11" s="9">
        <v>13.2</v>
      </c>
      <c r="D11" s="6">
        <v>4</v>
      </c>
      <c r="E11" s="6" t="s">
        <v>123</v>
      </c>
      <c r="F11" s="6">
        <f>4*100</f>
        <v>400</v>
      </c>
      <c r="G11" s="6">
        <f>1*645</f>
        <v>645</v>
      </c>
    </row>
    <row r="12" spans="1:7" ht="28.5" x14ac:dyDescent="0.2">
      <c r="A12" s="8" t="s">
        <v>81</v>
      </c>
      <c r="B12" s="9">
        <v>3.75</v>
      </c>
      <c r="C12" s="9">
        <v>8</v>
      </c>
      <c r="D12" s="6">
        <v>1</v>
      </c>
      <c r="E12" s="6" t="s">
        <v>14</v>
      </c>
      <c r="F12" s="6">
        <f>1*600</f>
        <v>600</v>
      </c>
      <c r="G12" s="6">
        <f>1*5500</f>
        <v>5500</v>
      </c>
    </row>
    <row r="13" spans="1:7" ht="57" x14ac:dyDescent="0.2">
      <c r="A13" s="8" t="s">
        <v>83</v>
      </c>
      <c r="B13" s="9">
        <v>14.68</v>
      </c>
      <c r="C13" s="9">
        <v>15.5</v>
      </c>
      <c r="D13" s="6">
        <v>3</v>
      </c>
      <c r="E13" s="6" t="s">
        <v>123</v>
      </c>
      <c r="F13" s="6">
        <f>3*100</f>
        <v>300</v>
      </c>
      <c r="G13" s="6">
        <f>1*645</f>
        <v>645</v>
      </c>
    </row>
    <row r="14" spans="1:7" ht="71.25" x14ac:dyDescent="0.2">
      <c r="A14" s="8" t="s">
        <v>84</v>
      </c>
      <c r="B14" s="9">
        <v>3.97</v>
      </c>
      <c r="C14" s="9">
        <v>8.3000000000000007</v>
      </c>
      <c r="D14" s="6">
        <v>1</v>
      </c>
      <c r="E14" s="6" t="s">
        <v>128</v>
      </c>
      <c r="F14" s="6">
        <f>1*600</f>
        <v>600</v>
      </c>
      <c r="G14" s="6">
        <f>((1*160)+(1*2027))</f>
        <v>2187</v>
      </c>
    </row>
    <row r="15" spans="1:7" ht="28.5" x14ac:dyDescent="0.2">
      <c r="A15" s="8" t="s">
        <v>85</v>
      </c>
      <c r="B15" s="9">
        <v>4.2</v>
      </c>
      <c r="C15" s="9">
        <v>8.6</v>
      </c>
      <c r="D15" s="6">
        <v>1</v>
      </c>
      <c r="E15" s="6" t="s">
        <v>14</v>
      </c>
      <c r="F15" s="6">
        <f>1*600</f>
        <v>600</v>
      </c>
      <c r="G15" s="6">
        <f>1*5500</f>
        <v>5500</v>
      </c>
    </row>
    <row r="16" spans="1:7" ht="57" x14ac:dyDescent="0.2">
      <c r="A16" s="8" t="s">
        <v>86</v>
      </c>
      <c r="B16" s="9">
        <v>24</v>
      </c>
      <c r="C16" s="9">
        <v>19.600000000000001</v>
      </c>
      <c r="D16" s="6" t="s">
        <v>125</v>
      </c>
      <c r="E16" s="6" t="s">
        <v>126</v>
      </c>
      <c r="F16" s="6">
        <f t="shared" ref="F16:F21" si="0">5*100</f>
        <v>500</v>
      </c>
      <c r="G16" s="6">
        <f>1*877</f>
        <v>877</v>
      </c>
    </row>
    <row r="17" spans="1:7" ht="57" x14ac:dyDescent="0.2">
      <c r="A17" s="8" t="s">
        <v>87</v>
      </c>
      <c r="B17" s="9">
        <v>24</v>
      </c>
      <c r="C17" s="9">
        <v>19.600000000000001</v>
      </c>
      <c r="D17" s="6" t="s">
        <v>125</v>
      </c>
      <c r="E17" s="6" t="s">
        <v>126</v>
      </c>
      <c r="F17" s="6">
        <f t="shared" si="0"/>
        <v>500</v>
      </c>
      <c r="G17" s="6">
        <f>1*877</f>
        <v>877</v>
      </c>
    </row>
    <row r="18" spans="1:7" ht="57" x14ac:dyDescent="0.2">
      <c r="A18" s="8" t="s">
        <v>88</v>
      </c>
      <c r="B18" s="9">
        <v>24</v>
      </c>
      <c r="C18" s="9">
        <v>19.600000000000001</v>
      </c>
      <c r="D18" s="6" t="s">
        <v>125</v>
      </c>
      <c r="E18" s="6" t="s">
        <v>126</v>
      </c>
      <c r="F18" s="6">
        <f t="shared" si="0"/>
        <v>500</v>
      </c>
      <c r="G18" s="6">
        <f t="shared" ref="G18:G21" si="1">1*877</f>
        <v>877</v>
      </c>
    </row>
    <row r="19" spans="1:7" ht="57" x14ac:dyDescent="0.2">
      <c r="A19" s="8" t="s">
        <v>91</v>
      </c>
      <c r="B19" s="9">
        <v>24</v>
      </c>
      <c r="C19" s="9">
        <v>19.600000000000001</v>
      </c>
      <c r="D19" s="6" t="s">
        <v>125</v>
      </c>
      <c r="E19" s="6" t="s">
        <v>126</v>
      </c>
      <c r="F19" s="6">
        <f t="shared" si="0"/>
        <v>500</v>
      </c>
      <c r="G19" s="6">
        <f t="shared" si="1"/>
        <v>877</v>
      </c>
    </row>
    <row r="20" spans="1:7" ht="57" x14ac:dyDescent="0.2">
      <c r="A20" s="8" t="s">
        <v>89</v>
      </c>
      <c r="B20" s="9">
        <v>24</v>
      </c>
      <c r="C20" s="9">
        <v>19.600000000000001</v>
      </c>
      <c r="D20" s="6" t="s">
        <v>125</v>
      </c>
      <c r="E20" s="6" t="s">
        <v>126</v>
      </c>
      <c r="F20" s="6">
        <f t="shared" si="0"/>
        <v>500</v>
      </c>
      <c r="G20" s="6">
        <f t="shared" si="1"/>
        <v>877</v>
      </c>
    </row>
    <row r="21" spans="1:7" ht="57" x14ac:dyDescent="0.2">
      <c r="A21" s="8" t="s">
        <v>90</v>
      </c>
      <c r="B21" s="9">
        <v>24</v>
      </c>
      <c r="C21" s="9">
        <v>19.600000000000001</v>
      </c>
      <c r="D21" s="6" t="s">
        <v>125</v>
      </c>
      <c r="E21" s="6" t="s">
        <v>126</v>
      </c>
      <c r="F21" s="6">
        <f t="shared" si="0"/>
        <v>500</v>
      </c>
      <c r="G21" s="6">
        <f t="shared" si="1"/>
        <v>877</v>
      </c>
    </row>
    <row r="22" spans="1:7" ht="71.25" x14ac:dyDescent="0.2">
      <c r="A22" s="8" t="s">
        <v>92</v>
      </c>
      <c r="B22" s="9">
        <v>83.08</v>
      </c>
      <c r="C22" s="9">
        <v>38.39</v>
      </c>
      <c r="D22" s="6">
        <v>12</v>
      </c>
      <c r="E22" s="6" t="s">
        <v>217</v>
      </c>
      <c r="F22" s="6">
        <f>12*100</f>
        <v>1200</v>
      </c>
      <c r="G22" s="6">
        <f>((1*73)+(4*877))</f>
        <v>3581</v>
      </c>
    </row>
    <row r="23" spans="1:7" x14ac:dyDescent="0.2">
      <c r="A23" s="8" t="s">
        <v>93</v>
      </c>
      <c r="B23" s="9">
        <v>5.55</v>
      </c>
      <c r="C23" s="9">
        <v>6.64</v>
      </c>
      <c r="D23" s="6">
        <v>3</v>
      </c>
      <c r="E23" s="6" t="s">
        <v>12</v>
      </c>
      <c r="F23" s="6">
        <f>3*600</f>
        <v>1800</v>
      </c>
      <c r="G23" s="6" t="s">
        <v>12</v>
      </c>
    </row>
    <row r="24" spans="1:7" ht="28.5" x14ac:dyDescent="0.2">
      <c r="A24" s="8" t="s">
        <v>94</v>
      </c>
      <c r="B24" s="9">
        <v>13.95</v>
      </c>
      <c r="C24" s="9">
        <v>17.7</v>
      </c>
      <c r="D24" s="6">
        <v>2</v>
      </c>
      <c r="E24" s="6" t="s">
        <v>14</v>
      </c>
      <c r="F24" s="6">
        <f>2*600</f>
        <v>1200</v>
      </c>
      <c r="G24" s="6">
        <f>1*5500</f>
        <v>5500</v>
      </c>
    </row>
    <row r="25" spans="1:7" x14ac:dyDescent="0.2">
      <c r="A25" s="12" t="s">
        <v>96</v>
      </c>
      <c r="B25" s="9">
        <v>2.77</v>
      </c>
      <c r="C25" s="9">
        <v>6.7</v>
      </c>
      <c r="D25" s="6">
        <v>1</v>
      </c>
      <c r="E25" s="6" t="s">
        <v>12</v>
      </c>
      <c r="F25" s="6">
        <f>1*600</f>
        <v>600</v>
      </c>
      <c r="G25" s="6" t="s">
        <v>12</v>
      </c>
    </row>
    <row r="26" spans="1:7" ht="28.5" x14ac:dyDescent="0.2">
      <c r="A26" s="12" t="s">
        <v>95</v>
      </c>
      <c r="B26" s="9">
        <v>13.95</v>
      </c>
      <c r="C26" s="9">
        <v>17.7</v>
      </c>
      <c r="D26" s="6">
        <v>2</v>
      </c>
      <c r="E26" s="6" t="s">
        <v>14</v>
      </c>
      <c r="F26" s="6">
        <f>2*600</f>
        <v>1200</v>
      </c>
      <c r="G26" s="6">
        <f>1*5500</f>
        <v>5500</v>
      </c>
    </row>
    <row r="27" spans="1:7" x14ac:dyDescent="0.2">
      <c r="A27" s="12" t="s">
        <v>97</v>
      </c>
      <c r="B27" s="9">
        <v>2.77</v>
      </c>
      <c r="C27" s="9">
        <v>6.7</v>
      </c>
      <c r="D27" s="6">
        <v>1</v>
      </c>
      <c r="E27" s="6" t="s">
        <v>12</v>
      </c>
      <c r="F27" s="6">
        <f>1*600</f>
        <v>600</v>
      </c>
      <c r="G27" s="6" t="s">
        <v>12</v>
      </c>
    </row>
    <row r="28" spans="1:7" ht="57" x14ac:dyDescent="0.2">
      <c r="A28" s="12" t="s">
        <v>3</v>
      </c>
      <c r="B28" s="9">
        <v>16.329999999999998</v>
      </c>
      <c r="C28" s="9">
        <v>20.74</v>
      </c>
      <c r="D28" s="6">
        <v>5</v>
      </c>
      <c r="E28" s="6" t="s">
        <v>223</v>
      </c>
      <c r="F28" s="6">
        <f>((3*600)+(2*100))</f>
        <v>2000</v>
      </c>
      <c r="G28" s="6">
        <f>((1*73)+(1*1520)+(1*72))</f>
        <v>1665</v>
      </c>
    </row>
    <row r="29" spans="1:7" x14ac:dyDescent="0.2">
      <c r="A29" s="12" t="s">
        <v>98</v>
      </c>
      <c r="B29" s="9">
        <v>4.7300000000000004</v>
      </c>
      <c r="C29" s="9">
        <v>8.27</v>
      </c>
      <c r="D29" s="6">
        <v>1</v>
      </c>
      <c r="E29" s="6" t="s">
        <v>12</v>
      </c>
      <c r="F29" s="6">
        <f>1*600</f>
        <v>600</v>
      </c>
      <c r="G29" s="6" t="s">
        <v>12</v>
      </c>
    </row>
    <row r="30" spans="1:7" x14ac:dyDescent="0.2">
      <c r="A30" s="12" t="s">
        <v>99</v>
      </c>
      <c r="B30" s="9">
        <v>1.92</v>
      </c>
      <c r="C30" s="9">
        <v>5.7</v>
      </c>
      <c r="D30" s="6" t="s">
        <v>12</v>
      </c>
      <c r="E30" s="6" t="s">
        <v>12</v>
      </c>
      <c r="F30" s="6" t="s">
        <v>12</v>
      </c>
      <c r="G30" s="6" t="s">
        <v>12</v>
      </c>
    </row>
    <row r="31" spans="1:7" x14ac:dyDescent="0.2">
      <c r="A31" s="12" t="s">
        <v>100</v>
      </c>
      <c r="B31" s="9">
        <v>75.7</v>
      </c>
      <c r="C31" s="9">
        <v>36.26</v>
      </c>
      <c r="D31" s="6" t="s">
        <v>12</v>
      </c>
      <c r="E31" s="6" t="s">
        <v>12</v>
      </c>
      <c r="F31" s="6" t="s">
        <v>12</v>
      </c>
      <c r="G31" s="6" t="s">
        <v>12</v>
      </c>
    </row>
    <row r="32" spans="1:7" x14ac:dyDescent="0.2">
      <c r="A32" s="132" t="s">
        <v>4</v>
      </c>
      <c r="B32" s="133"/>
      <c r="C32" s="134"/>
      <c r="D32" s="10"/>
      <c r="E32" s="11"/>
      <c r="F32" s="10">
        <f>SUM(F6:F31)</f>
        <v>15800</v>
      </c>
      <c r="G32" s="11">
        <f>SUM(G6:G31)</f>
        <v>36630</v>
      </c>
    </row>
    <row r="33" spans="1:7" x14ac:dyDescent="0.2">
      <c r="A33" s="55"/>
      <c r="B33" s="55"/>
      <c r="C33" s="55"/>
      <c r="D33" s="82"/>
      <c r="E33" s="83"/>
      <c r="F33" s="82"/>
      <c r="G33" s="83"/>
    </row>
    <row r="34" spans="1:7" x14ac:dyDescent="0.2">
      <c r="A34" s="164" t="s">
        <v>138</v>
      </c>
      <c r="B34" s="164"/>
      <c r="C34" s="164"/>
      <c r="D34" s="164"/>
      <c r="E34" s="164"/>
      <c r="F34" s="164"/>
      <c r="G34" s="164"/>
    </row>
    <row r="35" spans="1:7" ht="15.75" customHeight="1" x14ac:dyDescent="0.2">
      <c r="A35" s="163" t="s">
        <v>137</v>
      </c>
      <c r="B35" s="163"/>
      <c r="C35" s="163"/>
      <c r="D35" s="163" t="s">
        <v>143</v>
      </c>
      <c r="E35" s="163"/>
      <c r="F35" s="163"/>
      <c r="G35" s="163"/>
    </row>
    <row r="36" spans="1:7" x14ac:dyDescent="0.2">
      <c r="A36" s="167">
        <f>'Carga de Iluminação'!D31+'Potencia Ilumin.PTUG E PTUE'!F32</f>
        <v>26020</v>
      </c>
      <c r="B36" s="168"/>
      <c r="C36" s="169"/>
      <c r="D36" s="159">
        <f>A36/1000</f>
        <v>26.02</v>
      </c>
      <c r="E36" s="159"/>
      <c r="F36" s="159"/>
      <c r="G36" s="159"/>
    </row>
    <row r="37" spans="1:7" x14ac:dyDescent="0.2">
      <c r="A37" s="80"/>
      <c r="B37" s="81"/>
      <c r="C37" s="81"/>
      <c r="D37" s="81"/>
      <c r="E37" s="81"/>
      <c r="F37" s="81"/>
      <c r="G37" s="81"/>
    </row>
    <row r="38" spans="1:7" x14ac:dyDescent="0.2">
      <c r="A38" s="162" t="s">
        <v>152</v>
      </c>
      <c r="B38" s="162"/>
      <c r="C38" s="162"/>
      <c r="D38" s="162"/>
      <c r="E38" s="162"/>
      <c r="F38" s="162"/>
      <c r="G38" s="162"/>
    </row>
    <row r="39" spans="1:7" x14ac:dyDescent="0.2">
      <c r="A39" s="163" t="s">
        <v>139</v>
      </c>
      <c r="B39" s="163"/>
      <c r="C39" s="163"/>
      <c r="D39" s="163" t="s">
        <v>143</v>
      </c>
      <c r="E39" s="163"/>
      <c r="F39" s="163"/>
      <c r="G39" s="163"/>
    </row>
    <row r="40" spans="1:7" x14ac:dyDescent="0.2">
      <c r="A40" s="156">
        <f>G32</f>
        <v>36630</v>
      </c>
      <c r="B40" s="157"/>
      <c r="C40" s="158"/>
      <c r="D40" s="159">
        <f>A40/1000</f>
        <v>36.630000000000003</v>
      </c>
      <c r="E40" s="159"/>
      <c r="F40" s="159"/>
      <c r="G40" s="159"/>
    </row>
    <row r="41" spans="1:7" x14ac:dyDescent="0.2">
      <c r="A41" s="57"/>
      <c r="B41" s="56"/>
      <c r="C41" s="56"/>
      <c r="D41" s="56"/>
      <c r="E41" s="56"/>
      <c r="F41" s="56"/>
      <c r="G41" s="56"/>
    </row>
    <row r="42" spans="1:7" ht="15.75" x14ac:dyDescent="0.25">
      <c r="A42" s="160" t="s">
        <v>140</v>
      </c>
      <c r="B42" s="160"/>
      <c r="C42" s="160"/>
      <c r="D42" s="160"/>
      <c r="E42" s="160"/>
      <c r="F42" s="160"/>
      <c r="G42" s="160"/>
    </row>
    <row r="43" spans="1:7" ht="15.75" x14ac:dyDescent="0.25">
      <c r="A43" s="161">
        <f>D36+D40</f>
        <v>62.650000000000006</v>
      </c>
      <c r="B43" s="161"/>
      <c r="C43" s="161"/>
      <c r="D43" s="161"/>
      <c r="E43" s="161"/>
      <c r="F43" s="161"/>
      <c r="G43" s="161"/>
    </row>
    <row r="45" spans="1:7" ht="15.75" x14ac:dyDescent="0.25">
      <c r="A45" s="160" t="s">
        <v>142</v>
      </c>
      <c r="B45" s="160"/>
      <c r="C45" s="160"/>
      <c r="D45" s="160"/>
      <c r="E45" s="160"/>
      <c r="F45" s="160"/>
      <c r="G45" s="160"/>
    </row>
    <row r="46" spans="1:7" x14ac:dyDescent="0.2">
      <c r="A46" s="159" t="s">
        <v>141</v>
      </c>
      <c r="B46" s="159"/>
      <c r="C46" s="159"/>
      <c r="D46" s="159"/>
      <c r="E46" s="159"/>
      <c r="F46" s="159"/>
      <c r="G46" s="159"/>
    </row>
    <row r="47" spans="1:7" x14ac:dyDescent="0.2">
      <c r="A47" s="159" t="s">
        <v>275</v>
      </c>
      <c r="B47" s="159"/>
      <c r="C47" s="159"/>
      <c r="D47" s="159"/>
      <c r="E47" s="159"/>
      <c r="F47" s="159"/>
      <c r="G47" s="159"/>
    </row>
    <row r="48" spans="1:7" ht="15.75" x14ac:dyDescent="0.25">
      <c r="A48" s="155" t="s">
        <v>276</v>
      </c>
      <c r="B48" s="155"/>
      <c r="C48" s="155"/>
      <c r="D48" s="155"/>
      <c r="E48" s="155"/>
      <c r="F48" s="155"/>
      <c r="G48" s="155"/>
    </row>
  </sheetData>
  <mergeCells count="22">
    <mergeCell ref="A1:G2"/>
    <mergeCell ref="A3:G3"/>
    <mergeCell ref="D4:E4"/>
    <mergeCell ref="F4:G4"/>
    <mergeCell ref="A32:C32"/>
    <mergeCell ref="A34:G34"/>
    <mergeCell ref="A35:C35"/>
    <mergeCell ref="D35:G35"/>
    <mergeCell ref="B4:C4"/>
    <mergeCell ref="A36:C36"/>
    <mergeCell ref="D36:G36"/>
    <mergeCell ref="A38:G38"/>
    <mergeCell ref="A39:C39"/>
    <mergeCell ref="D39:G39"/>
    <mergeCell ref="A46:G46"/>
    <mergeCell ref="A47:G47"/>
    <mergeCell ref="A48:G48"/>
    <mergeCell ref="A40:C40"/>
    <mergeCell ref="D40:G40"/>
    <mergeCell ref="A42:G42"/>
    <mergeCell ref="A43:G43"/>
    <mergeCell ref="A45:G45"/>
  </mergeCells>
  <pageMargins left="0.51181102362204722" right="0.31496062992125984" top="0.51181102362204722" bottom="0.11811023622047245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9"/>
  <sheetViews>
    <sheetView showGridLines="0" topLeftCell="A16" workbookViewId="0">
      <selection activeCell="E33" sqref="E33:I34"/>
    </sheetView>
  </sheetViews>
  <sheetFormatPr defaultRowHeight="14.25" x14ac:dyDescent="0.2"/>
  <cols>
    <col min="1" max="1" width="9.85546875" style="1" bestFit="1" customWidth="1"/>
    <col min="2" max="2" width="14.28515625" style="1" customWidth="1"/>
    <col min="3" max="3" width="9.140625" style="1"/>
    <col min="4" max="4" width="5.85546875" style="1" customWidth="1"/>
    <col min="5" max="5" width="9.140625" style="1"/>
    <col min="6" max="6" width="10.140625" style="1" bestFit="1" customWidth="1"/>
    <col min="7" max="7" width="4.5703125" style="1" customWidth="1"/>
    <col min="8" max="8" width="9.140625" style="1"/>
    <col min="9" max="9" width="14.7109375" style="1" customWidth="1"/>
    <col min="10" max="10" width="49.140625" style="1" customWidth="1"/>
    <col min="11" max="14" width="9.140625" style="1"/>
    <col min="15" max="18" width="9.140625" style="1" customWidth="1"/>
    <col min="19" max="29" width="9.140625" style="1"/>
    <col min="30" max="30" width="13.140625" style="1" bestFit="1" customWidth="1"/>
    <col min="31" max="31" width="16.28515625" style="1" bestFit="1" customWidth="1"/>
    <col min="32" max="32" width="32.85546875" style="1" bestFit="1" customWidth="1"/>
    <col min="33" max="16384" width="9.140625" style="1"/>
  </cols>
  <sheetData>
    <row r="1" spans="1:35" ht="27" customHeight="1" x14ac:dyDescent="0.2">
      <c r="A1" s="192" t="s">
        <v>60</v>
      </c>
      <c r="B1" s="192"/>
      <c r="C1" s="192"/>
      <c r="D1" s="192"/>
      <c r="E1" s="192"/>
      <c r="F1" s="192"/>
      <c r="G1" s="192"/>
      <c r="H1" s="192"/>
      <c r="I1" s="192"/>
      <c r="J1" s="192"/>
      <c r="AC1" s="181" t="s">
        <v>61</v>
      </c>
      <c r="AD1" s="182"/>
      <c r="AE1" s="182"/>
      <c r="AF1" s="183"/>
      <c r="AG1" s="30"/>
      <c r="AH1" s="30"/>
      <c r="AI1" s="30"/>
    </row>
    <row r="2" spans="1:35" ht="43.5" customHeight="1" x14ac:dyDescent="0.2">
      <c r="A2" s="193" t="s">
        <v>144</v>
      </c>
      <c r="B2" s="194"/>
      <c r="C2" s="194"/>
      <c r="D2" s="194"/>
      <c r="E2" s="194"/>
      <c r="F2" s="194"/>
      <c r="G2" s="194"/>
      <c r="H2" s="194"/>
      <c r="I2" s="194"/>
      <c r="J2" s="195"/>
      <c r="AC2" s="9" t="s">
        <v>62</v>
      </c>
      <c r="AD2" s="3" t="s">
        <v>27</v>
      </c>
      <c r="AE2" s="51" t="s">
        <v>66</v>
      </c>
      <c r="AF2" s="51" t="s">
        <v>68</v>
      </c>
      <c r="AG2" s="50"/>
      <c r="AH2" s="50"/>
      <c r="AI2" s="50"/>
    </row>
    <row r="3" spans="1:35" ht="15" x14ac:dyDescent="0.2">
      <c r="A3" s="196"/>
      <c r="B3" s="197"/>
      <c r="C3" s="197"/>
      <c r="D3" s="197"/>
      <c r="E3" s="197"/>
      <c r="F3" s="197"/>
      <c r="G3" s="197"/>
      <c r="H3" s="197"/>
      <c r="I3" s="197"/>
      <c r="J3" s="198"/>
      <c r="AC3" s="4" t="s">
        <v>59</v>
      </c>
      <c r="AD3" s="5">
        <v>8813.6</v>
      </c>
      <c r="AE3" s="4">
        <v>0.31</v>
      </c>
      <c r="AF3" s="5">
        <f>AD3*AE3</f>
        <v>2732.2159999999999</v>
      </c>
      <c r="AG3" s="49"/>
      <c r="AH3" s="49"/>
      <c r="AI3" s="49"/>
    </row>
    <row r="4" spans="1:35" ht="15" x14ac:dyDescent="0.2">
      <c r="A4" s="202" t="s">
        <v>153</v>
      </c>
      <c r="B4" s="202"/>
      <c r="C4" s="202"/>
      <c r="D4" s="202"/>
      <c r="E4" s="202"/>
      <c r="F4" s="202"/>
      <c r="G4" s="202"/>
      <c r="H4" s="202"/>
      <c r="I4" s="202"/>
      <c r="J4" s="202"/>
      <c r="AC4" s="4" t="s">
        <v>63</v>
      </c>
      <c r="AD4" s="5">
        <f>5500+5500+5500</f>
        <v>16500</v>
      </c>
      <c r="AE4" s="4">
        <v>0.7</v>
      </c>
      <c r="AF4" s="5">
        <f>AD4*AE4</f>
        <v>11550</v>
      </c>
      <c r="AG4" s="49"/>
      <c r="AH4" s="49"/>
      <c r="AI4" s="49"/>
    </row>
    <row r="5" spans="1:35" ht="15" x14ac:dyDescent="0.2">
      <c r="A5" s="202" t="s">
        <v>58</v>
      </c>
      <c r="B5" s="202"/>
      <c r="C5" s="202"/>
      <c r="D5" s="202"/>
      <c r="E5" s="202"/>
      <c r="F5" s="202"/>
      <c r="G5" s="202"/>
      <c r="H5" s="202"/>
      <c r="I5" s="202"/>
      <c r="J5" s="202"/>
      <c r="AC5" s="4" t="s">
        <v>64</v>
      </c>
      <c r="AD5" s="5">
        <f>158+1350+1700+1280+1500</f>
        <v>5988</v>
      </c>
      <c r="AE5" s="4">
        <v>0.7</v>
      </c>
      <c r="AF5" s="5">
        <f>AD5*AE5</f>
        <v>4191.5999999999995</v>
      </c>
      <c r="AG5" s="49"/>
      <c r="AH5" s="49"/>
      <c r="AI5" s="49"/>
    </row>
    <row r="6" spans="1:35" ht="23.25" customHeight="1" x14ac:dyDescent="0.2">
      <c r="A6" s="187" t="s">
        <v>146</v>
      </c>
      <c r="B6" s="188"/>
      <c r="C6" s="188"/>
      <c r="D6" s="188"/>
      <c r="E6" s="188"/>
      <c r="F6" s="188"/>
      <c r="G6" s="188"/>
      <c r="H6" s="188"/>
      <c r="I6" s="188"/>
      <c r="J6" s="189"/>
      <c r="AC6" s="4" t="s">
        <v>65</v>
      </c>
      <c r="AD6" s="5">
        <f>2640+2640+1200</f>
        <v>6480</v>
      </c>
      <c r="AE6" s="4">
        <v>0.82</v>
      </c>
      <c r="AF6" s="5">
        <f>AD6*AE6</f>
        <v>5313.5999999999995</v>
      </c>
      <c r="AG6" s="49"/>
      <c r="AH6" s="49"/>
      <c r="AI6" s="49"/>
    </row>
    <row r="7" spans="1:35" s="43" customFormat="1" ht="37.5" customHeight="1" x14ac:dyDescent="0.2">
      <c r="A7" s="187" t="s">
        <v>147</v>
      </c>
      <c r="B7" s="188"/>
      <c r="C7" s="188"/>
      <c r="D7" s="188"/>
      <c r="E7" s="188"/>
      <c r="F7" s="188"/>
      <c r="G7" s="188"/>
      <c r="H7" s="188"/>
      <c r="I7" s="188"/>
      <c r="J7" s="189"/>
      <c r="AC7" s="2"/>
      <c r="AD7" s="44">
        <f>SUM(AD3:AD6)</f>
        <v>37781.599999999999</v>
      </c>
      <c r="AE7" s="1"/>
      <c r="AF7" s="48">
        <f>SUM(AF3:AI6)</f>
        <v>23787.415999999997</v>
      </c>
      <c r="AG7" s="49"/>
      <c r="AH7" s="49"/>
      <c r="AI7" s="49"/>
    </row>
    <row r="8" spans="1:35" ht="37.5" customHeight="1" x14ac:dyDescent="0.2">
      <c r="A8" s="190" t="s">
        <v>145</v>
      </c>
      <c r="B8" s="190"/>
      <c r="C8" s="190"/>
      <c r="D8" s="190"/>
      <c r="E8" s="190"/>
      <c r="F8" s="190"/>
      <c r="G8" s="190"/>
      <c r="H8" s="190"/>
      <c r="I8" s="190"/>
      <c r="J8" s="191"/>
    </row>
    <row r="10" spans="1:35" ht="30.75" customHeight="1" x14ac:dyDescent="0.2"/>
    <row r="11" spans="1:35" ht="15" x14ac:dyDescent="0.2">
      <c r="A11" s="139" t="s">
        <v>265</v>
      </c>
      <c r="B11" s="140"/>
      <c r="C11" s="140"/>
      <c r="D11" s="140"/>
      <c r="E11" s="140"/>
      <c r="F11" s="140"/>
      <c r="G11" s="140"/>
      <c r="H11" s="140"/>
      <c r="I11" s="141"/>
    </row>
    <row r="12" spans="1:35" ht="15" customHeight="1" x14ac:dyDescent="0.25">
      <c r="A12" s="91" t="s">
        <v>151</v>
      </c>
      <c r="B12" s="260" t="s">
        <v>67</v>
      </c>
      <c r="C12" s="261" t="s">
        <v>66</v>
      </c>
      <c r="D12" s="261"/>
      <c r="E12" s="261"/>
      <c r="F12" s="261" t="s">
        <v>69</v>
      </c>
      <c r="G12" s="262"/>
      <c r="H12" s="262"/>
      <c r="I12" s="263"/>
    </row>
    <row r="13" spans="1:35" ht="15" customHeight="1" x14ac:dyDescent="0.2">
      <c r="A13" s="4" t="s">
        <v>148</v>
      </c>
      <c r="B13" s="10">
        <f>SUM('Carga de Iluminação'!D5:D20)+SUM('Potencia Ilumin.PTUG E PTUE'!F6:F21)</f>
        <v>13420</v>
      </c>
      <c r="C13" s="244">
        <v>0.8</v>
      </c>
      <c r="D13" s="245"/>
      <c r="E13" s="246"/>
      <c r="F13" s="247">
        <f>B13*C13</f>
        <v>10736</v>
      </c>
      <c r="G13" s="248"/>
      <c r="H13" s="248"/>
      <c r="I13" s="249"/>
      <c r="L13" s="1">
        <v>26020</v>
      </c>
    </row>
    <row r="14" spans="1:35" ht="15" customHeight="1" x14ac:dyDescent="0.2">
      <c r="A14" s="4" t="s">
        <v>149</v>
      </c>
      <c r="B14" s="10">
        <f>'Potencia Ilumin.PTUG E PTUE'!G12+'Potencia Ilumin.PTUG E PTUE'!G14+'Potencia Ilumin.PTUG E PTUE'!G15</f>
        <v>13187</v>
      </c>
      <c r="C14" s="244">
        <v>0.59</v>
      </c>
      <c r="D14" s="245"/>
      <c r="E14" s="246"/>
      <c r="F14" s="247">
        <f>B14*C14</f>
        <v>7780.33</v>
      </c>
      <c r="G14" s="248"/>
      <c r="H14" s="248"/>
      <c r="I14" s="249"/>
    </row>
    <row r="15" spans="1:35" ht="15" customHeight="1" x14ac:dyDescent="0.2">
      <c r="A15" s="4" t="s">
        <v>150</v>
      </c>
      <c r="B15" s="10">
        <f>'Potencia Ilumin.PTUG E PTUE'!G9+'Potencia Ilumin.PTUG E PTUE'!G11+'Potencia Ilumin.PTUG E PTUE'!G13+'Potencia Ilumin.PTUG E PTUE'!G16+'Potencia Ilumin.PTUG E PTUE'!G17+'Potencia Ilumin.PTUG E PTUE'!G18+'Potencia Ilumin.PTUG E PTUE'!G19+'Potencia Ilumin.PTUG E PTUE'!G20+'Potencia Ilumin.PTUG E PTUE'!G21</f>
        <v>7197</v>
      </c>
      <c r="C15" s="244">
        <v>1</v>
      </c>
      <c r="D15" s="245"/>
      <c r="E15" s="246"/>
      <c r="F15" s="247">
        <f>B15*C15</f>
        <v>7197</v>
      </c>
      <c r="G15" s="248"/>
      <c r="H15" s="248"/>
      <c r="I15" s="249"/>
    </row>
    <row r="16" spans="1:35" ht="15" customHeight="1" x14ac:dyDescent="0.2">
      <c r="A16" s="242" t="s">
        <v>268</v>
      </c>
      <c r="B16" s="10">
        <f>SUM(B13:B15)</f>
        <v>33804</v>
      </c>
      <c r="C16" s="244"/>
      <c r="D16" s="245"/>
      <c r="E16" s="246"/>
      <c r="F16" s="247">
        <f>SUM(F13:I15)</f>
        <v>25713.33</v>
      </c>
      <c r="G16" s="248"/>
      <c r="H16" s="248"/>
      <c r="I16" s="249"/>
    </row>
    <row r="17" spans="1:9" ht="24" x14ac:dyDescent="0.2">
      <c r="A17" s="242" t="s">
        <v>269</v>
      </c>
      <c r="B17" s="241">
        <f>B16/1000</f>
        <v>33.804000000000002</v>
      </c>
      <c r="C17" s="250"/>
      <c r="D17" s="250"/>
      <c r="E17" s="250"/>
      <c r="F17" s="250">
        <f>F16/1000</f>
        <v>25.713330000000003</v>
      </c>
      <c r="G17" s="250"/>
      <c r="H17" s="250"/>
      <c r="I17" s="250"/>
    </row>
    <row r="18" spans="1:9" x14ac:dyDescent="0.2">
      <c r="A18" s="253"/>
      <c r="B18" s="254"/>
      <c r="C18" s="254"/>
      <c r="D18" s="254"/>
      <c r="E18" s="254"/>
      <c r="F18" s="254"/>
      <c r="G18" s="254"/>
      <c r="H18" s="254"/>
      <c r="I18" s="254"/>
    </row>
    <row r="19" spans="1:9" ht="15" x14ac:dyDescent="0.2">
      <c r="A19" s="203" t="s">
        <v>270</v>
      </c>
      <c r="B19" s="203"/>
      <c r="C19" s="203"/>
      <c r="D19" s="203"/>
      <c r="E19" s="203"/>
      <c r="F19" s="203"/>
      <c r="G19" s="203"/>
      <c r="H19" s="203"/>
      <c r="I19" s="203"/>
    </row>
    <row r="20" spans="1:9" x14ac:dyDescent="0.2">
      <c r="A20" s="176" t="s">
        <v>273</v>
      </c>
      <c r="B20" s="204"/>
      <c r="C20" s="204"/>
      <c r="D20" s="204" t="s">
        <v>70</v>
      </c>
      <c r="E20" s="206">
        <f>F16/(220*1.73)</f>
        <v>67.559984235417758</v>
      </c>
      <c r="F20" s="206"/>
      <c r="G20" s="206"/>
      <c r="H20" s="206"/>
      <c r="I20" s="207"/>
    </row>
    <row r="21" spans="1:9" x14ac:dyDescent="0.2">
      <c r="A21" s="178"/>
      <c r="B21" s="205"/>
      <c r="C21" s="205"/>
      <c r="D21" s="205"/>
      <c r="E21" s="208"/>
      <c r="F21" s="208"/>
      <c r="G21" s="208"/>
      <c r="H21" s="208"/>
      <c r="I21" s="209"/>
    </row>
    <row r="22" spans="1:9" x14ac:dyDescent="0.2">
      <c r="A22" s="109"/>
      <c r="B22" s="110"/>
      <c r="C22" s="110"/>
      <c r="D22" s="110"/>
      <c r="E22" s="111"/>
      <c r="F22" s="111"/>
      <c r="G22" s="111"/>
      <c r="H22" s="111"/>
      <c r="I22" s="111"/>
    </row>
    <row r="23" spans="1:9" x14ac:dyDescent="0.2">
      <c r="A23" s="255"/>
      <c r="B23" s="256"/>
      <c r="C23" s="257"/>
      <c r="D23" s="257"/>
      <c r="E23" s="257"/>
      <c r="F23" s="256"/>
      <c r="G23" s="256"/>
      <c r="H23" s="256"/>
      <c r="I23" s="256"/>
    </row>
    <row r="24" spans="1:9" ht="15" customHeight="1" x14ac:dyDescent="0.2">
      <c r="A24" s="139" t="s">
        <v>266</v>
      </c>
      <c r="B24" s="140"/>
      <c r="C24" s="140"/>
      <c r="D24" s="140"/>
      <c r="E24" s="140"/>
      <c r="F24" s="140"/>
      <c r="G24" s="140"/>
      <c r="H24" s="140"/>
      <c r="I24" s="141"/>
    </row>
    <row r="25" spans="1:9" ht="15" customHeight="1" x14ac:dyDescent="0.25">
      <c r="A25" s="91" t="s">
        <v>151</v>
      </c>
      <c r="B25" s="260" t="s">
        <v>67</v>
      </c>
      <c r="C25" s="261" t="s">
        <v>66</v>
      </c>
      <c r="D25" s="261"/>
      <c r="E25" s="261"/>
      <c r="F25" s="261" t="s">
        <v>69</v>
      </c>
      <c r="G25" s="262"/>
      <c r="H25" s="262"/>
      <c r="I25" s="263"/>
    </row>
    <row r="26" spans="1:9" ht="15" customHeight="1" x14ac:dyDescent="0.2">
      <c r="A26" s="118" t="s">
        <v>148</v>
      </c>
      <c r="B26" s="5">
        <f>SUM('Carga de Iluminação'!D21:D30)+SUM('Potencia Ilumin.PTUG E PTUE'!F22:F31)</f>
        <v>12600</v>
      </c>
      <c r="C26" s="184">
        <v>0.8</v>
      </c>
      <c r="D26" s="185"/>
      <c r="E26" s="186"/>
      <c r="F26" s="199">
        <f>B26*C26</f>
        <v>10080</v>
      </c>
      <c r="G26" s="200"/>
      <c r="H26" s="200"/>
      <c r="I26" s="201"/>
    </row>
    <row r="27" spans="1:9" ht="15" customHeight="1" x14ac:dyDescent="0.2">
      <c r="A27" s="118" t="s">
        <v>149</v>
      </c>
      <c r="B27" s="5">
        <f>'Potencia Ilumin.PTUG E PTUE'!G24+'Potencia Ilumin.PTUG E PTUE'!G26+'Potencia Ilumin.PTUG E PTUE'!G28</f>
        <v>12665</v>
      </c>
      <c r="C27" s="184">
        <v>0.59</v>
      </c>
      <c r="D27" s="185"/>
      <c r="E27" s="186"/>
      <c r="F27" s="199">
        <f t="shared" ref="F27:F28" si="0">B27*C27</f>
        <v>7472.3499999999995</v>
      </c>
      <c r="G27" s="200"/>
      <c r="H27" s="200"/>
      <c r="I27" s="201"/>
    </row>
    <row r="28" spans="1:9" ht="15" customHeight="1" x14ac:dyDescent="0.2">
      <c r="A28" s="118" t="s">
        <v>150</v>
      </c>
      <c r="B28" s="5">
        <f>'Potencia Ilumin.PTUG E PTUE'!G22</f>
        <v>3581</v>
      </c>
      <c r="C28" s="184">
        <v>1</v>
      </c>
      <c r="D28" s="185"/>
      <c r="E28" s="186"/>
      <c r="F28" s="199">
        <f t="shared" si="0"/>
        <v>3581</v>
      </c>
      <c r="G28" s="200"/>
      <c r="H28" s="200"/>
      <c r="I28" s="201"/>
    </row>
    <row r="29" spans="1:9" x14ac:dyDescent="0.2">
      <c r="A29" s="243" t="s">
        <v>267</v>
      </c>
      <c r="B29" s="5">
        <f>SUM(B26:B28)</f>
        <v>28846</v>
      </c>
      <c r="C29" s="184"/>
      <c r="D29" s="185"/>
      <c r="E29" s="186"/>
      <c r="F29" s="199">
        <f>SUM(F26:I28)</f>
        <v>21133.35</v>
      </c>
      <c r="G29" s="200"/>
      <c r="H29" s="200"/>
      <c r="I29" s="201"/>
    </row>
    <row r="30" spans="1:9" ht="22.5" x14ac:dyDescent="0.2">
      <c r="A30" s="243" t="s">
        <v>269</v>
      </c>
      <c r="B30" s="241">
        <f>B29/1000</f>
        <v>28.846</v>
      </c>
      <c r="C30" s="112"/>
      <c r="D30" s="113"/>
      <c r="E30" s="114"/>
      <c r="F30" s="184">
        <f>F29/1000</f>
        <v>21.13335</v>
      </c>
      <c r="G30" s="185"/>
      <c r="H30" s="185"/>
      <c r="I30" s="186"/>
    </row>
    <row r="31" spans="1:9" ht="15" customHeight="1" x14ac:dyDescent="0.2">
      <c r="A31" s="251"/>
      <c r="B31" s="252"/>
      <c r="C31" s="48"/>
      <c r="D31" s="48"/>
      <c r="E31" s="48"/>
      <c r="F31" s="252"/>
      <c r="G31" s="252"/>
      <c r="H31" s="252"/>
      <c r="I31" s="252"/>
    </row>
    <row r="32" spans="1:9" ht="15" customHeight="1" x14ac:dyDescent="0.2">
      <c r="A32" s="203" t="s">
        <v>271</v>
      </c>
      <c r="B32" s="203"/>
      <c r="C32" s="203"/>
      <c r="D32" s="203"/>
      <c r="E32" s="203"/>
      <c r="F32" s="203"/>
      <c r="G32" s="203"/>
      <c r="H32" s="203"/>
      <c r="I32" s="203"/>
    </row>
    <row r="33" spans="1:9" ht="15" customHeight="1" x14ac:dyDescent="0.2">
      <c r="A33" s="176" t="s">
        <v>272</v>
      </c>
      <c r="B33" s="204"/>
      <c r="C33" s="204"/>
      <c r="D33" s="204" t="s">
        <v>70</v>
      </c>
      <c r="E33" s="206">
        <f>F29/(220*1.73)</f>
        <v>55.526405675249599</v>
      </c>
      <c r="F33" s="206"/>
      <c r="G33" s="206"/>
      <c r="H33" s="206"/>
      <c r="I33" s="207"/>
    </row>
    <row r="34" spans="1:9" ht="15" customHeight="1" x14ac:dyDescent="0.2">
      <c r="A34" s="178"/>
      <c r="B34" s="205"/>
      <c r="C34" s="205"/>
      <c r="D34" s="205"/>
      <c r="E34" s="208"/>
      <c r="F34" s="208"/>
      <c r="G34" s="208"/>
      <c r="H34" s="208"/>
      <c r="I34" s="209"/>
    </row>
    <row r="35" spans="1:9" ht="15" customHeight="1" x14ac:dyDescent="0.2">
      <c r="A35" s="258"/>
      <c r="B35" s="258"/>
      <c r="C35" s="258"/>
      <c r="D35" s="258"/>
      <c r="E35" s="259"/>
      <c r="F35" s="259"/>
      <c r="G35" s="259"/>
      <c r="H35" s="259"/>
      <c r="I35" s="259"/>
    </row>
    <row r="36" spans="1:9" ht="15" customHeight="1" x14ac:dyDescent="0.2">
      <c r="A36" s="258"/>
      <c r="B36" s="258"/>
      <c r="C36" s="258"/>
      <c r="D36" s="258"/>
      <c r="E36" s="259"/>
      <c r="F36" s="259"/>
      <c r="G36" s="259"/>
      <c r="H36" s="259"/>
      <c r="I36" s="259"/>
    </row>
    <row r="37" spans="1:9" ht="15" customHeight="1" x14ac:dyDescent="0.2">
      <c r="A37" s="139" t="s">
        <v>274</v>
      </c>
      <c r="B37" s="140"/>
      <c r="C37" s="140"/>
      <c r="D37" s="140"/>
      <c r="E37" s="140"/>
      <c r="F37" s="140"/>
      <c r="G37" s="140"/>
      <c r="H37" s="140"/>
      <c r="I37" s="141"/>
    </row>
    <row r="38" spans="1:9" ht="15" customHeight="1" x14ac:dyDescent="0.25">
      <c r="A38" s="91" t="s">
        <v>151</v>
      </c>
      <c r="B38" s="260" t="s">
        <v>67</v>
      </c>
      <c r="C38" s="261" t="s">
        <v>66</v>
      </c>
      <c r="D38" s="261"/>
      <c r="E38" s="261"/>
      <c r="F38" s="261" t="s">
        <v>69</v>
      </c>
      <c r="G38" s="262"/>
      <c r="H38" s="262"/>
      <c r="I38" s="263"/>
    </row>
    <row r="39" spans="1:9" ht="15" customHeight="1" x14ac:dyDescent="0.2">
      <c r="A39" s="118" t="s">
        <v>45</v>
      </c>
      <c r="B39" s="115">
        <f>B16+B29</f>
        <v>62650</v>
      </c>
      <c r="C39" s="45"/>
      <c r="D39" s="46"/>
      <c r="E39" s="47"/>
      <c r="F39" s="199">
        <f>F16+F29</f>
        <v>46846.68</v>
      </c>
      <c r="G39" s="200"/>
      <c r="H39" s="200"/>
      <c r="I39" s="201"/>
    </row>
    <row r="40" spans="1:9" ht="15" customHeight="1" x14ac:dyDescent="0.2">
      <c r="A40" s="118" t="s">
        <v>161</v>
      </c>
      <c r="B40" s="115">
        <f>B39/1000</f>
        <v>62.65</v>
      </c>
      <c r="C40" s="199"/>
      <c r="D40" s="200"/>
      <c r="E40" s="201"/>
      <c r="F40" s="210">
        <f>F39/1000</f>
        <v>46.846679999999999</v>
      </c>
      <c r="G40" s="210"/>
      <c r="H40" s="210"/>
      <c r="I40" s="210"/>
    </row>
    <row r="43" spans="1:9" ht="15" customHeight="1" x14ac:dyDescent="0.2"/>
    <row r="44" spans="1:9" ht="15" customHeight="1" x14ac:dyDescent="0.2"/>
    <row r="47" spans="1:9" x14ac:dyDescent="0.2">
      <c r="A47" s="180" t="s">
        <v>165</v>
      </c>
      <c r="B47" s="180"/>
      <c r="C47" s="180"/>
      <c r="D47" s="180"/>
      <c r="E47" s="180"/>
      <c r="F47" s="180"/>
      <c r="G47" s="180"/>
      <c r="H47" s="180"/>
    </row>
    <row r="48" spans="1:9" x14ac:dyDescent="0.2">
      <c r="A48" s="180"/>
      <c r="B48" s="180"/>
      <c r="C48" s="180"/>
      <c r="D48" s="180"/>
      <c r="E48" s="180"/>
      <c r="F48" s="180"/>
      <c r="G48" s="180"/>
      <c r="H48" s="180"/>
    </row>
    <row r="49" spans="1:8" x14ac:dyDescent="0.2">
      <c r="A49" s="174" t="s">
        <v>154</v>
      </c>
      <c r="B49" s="174"/>
      <c r="C49" s="174" t="s">
        <v>155</v>
      </c>
      <c r="D49" s="174"/>
      <c r="E49" s="174"/>
      <c r="F49" s="174"/>
      <c r="G49" s="174"/>
      <c r="H49" s="174"/>
    </row>
    <row r="50" spans="1:8" ht="15" customHeight="1" x14ac:dyDescent="0.2">
      <c r="A50" s="176" t="s">
        <v>159</v>
      </c>
      <c r="B50" s="177"/>
      <c r="C50" s="175" t="s">
        <v>160</v>
      </c>
      <c r="D50" s="175"/>
      <c r="E50" s="175"/>
      <c r="F50" s="175"/>
      <c r="G50" s="175"/>
      <c r="H50" s="175"/>
    </row>
    <row r="51" spans="1:8" x14ac:dyDescent="0.2">
      <c r="A51" s="178"/>
      <c r="B51" s="179"/>
      <c r="C51" s="175"/>
      <c r="D51" s="175"/>
      <c r="E51" s="175"/>
      <c r="F51" s="175"/>
      <c r="G51" s="175"/>
      <c r="H51" s="175"/>
    </row>
    <row r="52" spans="1:8" x14ac:dyDescent="0.2">
      <c r="A52" s="172" t="s">
        <v>156</v>
      </c>
      <c r="B52" s="173"/>
      <c r="C52" s="175"/>
      <c r="D52" s="175"/>
      <c r="E52" s="175"/>
      <c r="F52" s="175"/>
      <c r="G52" s="175"/>
      <c r="H52" s="175"/>
    </row>
    <row r="53" spans="1:8" x14ac:dyDescent="0.2">
      <c r="A53" s="172" t="s">
        <v>157</v>
      </c>
      <c r="B53" s="173"/>
      <c r="C53" s="175"/>
      <c r="D53" s="175"/>
      <c r="E53" s="175"/>
      <c r="F53" s="175"/>
      <c r="G53" s="175"/>
      <c r="H53" s="175"/>
    </row>
    <row r="54" spans="1:8" x14ac:dyDescent="0.2">
      <c r="A54" s="172" t="s">
        <v>158</v>
      </c>
      <c r="B54" s="173"/>
      <c r="C54" s="175"/>
      <c r="D54" s="175"/>
      <c r="E54" s="175"/>
      <c r="F54" s="175"/>
      <c r="G54" s="175"/>
      <c r="H54" s="175"/>
    </row>
    <row r="57" spans="1:8" x14ac:dyDescent="0.2">
      <c r="A57" s="1" t="s">
        <v>162</v>
      </c>
    </row>
    <row r="58" spans="1:8" x14ac:dyDescent="0.2">
      <c r="A58" s="1" t="s">
        <v>163</v>
      </c>
    </row>
    <row r="59" spans="1:8" x14ac:dyDescent="0.2">
      <c r="A59" s="1" t="s">
        <v>164</v>
      </c>
    </row>
  </sheetData>
  <mergeCells count="56">
    <mergeCell ref="F38:I38"/>
    <mergeCell ref="C17:E17"/>
    <mergeCell ref="F17:I17"/>
    <mergeCell ref="F30:I30"/>
    <mergeCell ref="A19:I19"/>
    <mergeCell ref="A20:C21"/>
    <mergeCell ref="D20:D21"/>
    <mergeCell ref="E20:I21"/>
    <mergeCell ref="C29:E29"/>
    <mergeCell ref="A32:I32"/>
    <mergeCell ref="A33:C34"/>
    <mergeCell ref="D33:D34"/>
    <mergeCell ref="E33:I34"/>
    <mergeCell ref="F39:I39"/>
    <mergeCell ref="C40:E40"/>
    <mergeCell ref="F40:I40"/>
    <mergeCell ref="A37:I37"/>
    <mergeCell ref="C38:E38"/>
    <mergeCell ref="C13:E13"/>
    <mergeCell ref="F13:I13"/>
    <mergeCell ref="F29:I29"/>
    <mergeCell ref="F15:I15"/>
    <mergeCell ref="A24:I24"/>
    <mergeCell ref="C25:E25"/>
    <mergeCell ref="F25:I25"/>
    <mergeCell ref="C26:E26"/>
    <mergeCell ref="C27:E27"/>
    <mergeCell ref="C28:E28"/>
    <mergeCell ref="F26:I26"/>
    <mergeCell ref="F27:I27"/>
    <mergeCell ref="F28:I28"/>
    <mergeCell ref="F16:I16"/>
    <mergeCell ref="C16:E16"/>
    <mergeCell ref="A47:H48"/>
    <mergeCell ref="AC1:AF1"/>
    <mergeCell ref="C15:E15"/>
    <mergeCell ref="A7:J7"/>
    <mergeCell ref="A8:J8"/>
    <mergeCell ref="A1:J1"/>
    <mergeCell ref="A2:J2"/>
    <mergeCell ref="A3:J3"/>
    <mergeCell ref="C14:E14"/>
    <mergeCell ref="F14:I14"/>
    <mergeCell ref="A4:J4"/>
    <mergeCell ref="A5:J5"/>
    <mergeCell ref="A6:J6"/>
    <mergeCell ref="A11:I11"/>
    <mergeCell ref="C12:E12"/>
    <mergeCell ref="F12:I12"/>
    <mergeCell ref="A52:B52"/>
    <mergeCell ref="A53:B53"/>
    <mergeCell ref="A54:B54"/>
    <mergeCell ref="C49:H49"/>
    <mergeCell ref="C50:H54"/>
    <mergeCell ref="A49:B49"/>
    <mergeCell ref="A50:B5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1"/>
  <sheetViews>
    <sheetView showGridLines="0" tabSelected="1" topLeftCell="A34" workbookViewId="0">
      <selection activeCell="I56" sqref="I56"/>
    </sheetView>
  </sheetViews>
  <sheetFormatPr defaultRowHeight="15" x14ac:dyDescent="0.25"/>
  <cols>
    <col min="1" max="1" width="6.5703125" style="23" customWidth="1"/>
    <col min="2" max="2" width="16.85546875" style="24" customWidth="1"/>
    <col min="3" max="3" width="9.140625" style="23"/>
    <col min="4" max="4" width="17.85546875" style="24" bestFit="1" customWidth="1"/>
    <col min="5" max="5" width="16" style="24" customWidth="1"/>
    <col min="6" max="6" width="11.28515625" style="24" customWidth="1"/>
    <col min="7" max="7" width="11.28515625" style="26" customWidth="1"/>
    <col min="8" max="8" width="12.85546875" style="26" customWidth="1"/>
    <col min="9" max="9" width="15.28515625" style="23" customWidth="1"/>
    <col min="10" max="11" width="14.140625" style="23" customWidth="1"/>
    <col min="12" max="12" width="8.28515625" style="24" customWidth="1"/>
    <col min="13" max="13" width="9.28515625" style="24" customWidth="1"/>
    <col min="14" max="14" width="11.5703125" style="24" bestFit="1" customWidth="1"/>
    <col min="15" max="16384" width="9.140625" style="23"/>
  </cols>
  <sheetData>
    <row r="1" spans="1:17" ht="15" customHeight="1" x14ac:dyDescent="0.25">
      <c r="A1" s="212" t="s">
        <v>29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</row>
    <row r="2" spans="1:17" ht="8.25" customHeight="1" x14ac:dyDescent="0.25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4"/>
    </row>
    <row r="3" spans="1:17" ht="15.75" x14ac:dyDescent="0.25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7"/>
    </row>
    <row r="4" spans="1:17" ht="78.75" customHeight="1" x14ac:dyDescent="0.25">
      <c r="A4" s="211" t="s">
        <v>30</v>
      </c>
      <c r="B4" s="211"/>
      <c r="C4" s="218" t="s">
        <v>33</v>
      </c>
      <c r="D4" s="218" t="s">
        <v>35</v>
      </c>
      <c r="E4" s="193" t="s">
        <v>28</v>
      </c>
      <c r="F4" s="195"/>
      <c r="G4" s="220" t="s">
        <v>37</v>
      </c>
      <c r="H4" s="222" t="s">
        <v>264</v>
      </c>
      <c r="I4" s="222" t="s">
        <v>263</v>
      </c>
      <c r="J4" s="218" t="s">
        <v>53</v>
      </c>
      <c r="K4" s="218" t="s">
        <v>54</v>
      </c>
      <c r="L4" s="211" t="s">
        <v>38</v>
      </c>
      <c r="M4" s="211"/>
      <c r="N4" s="211"/>
    </row>
    <row r="5" spans="1:17" ht="31.5" x14ac:dyDescent="0.25">
      <c r="A5" s="96" t="s">
        <v>31</v>
      </c>
      <c r="B5" s="97" t="s">
        <v>32</v>
      </c>
      <c r="C5" s="219"/>
      <c r="D5" s="219"/>
      <c r="E5" s="98" t="s">
        <v>36</v>
      </c>
      <c r="F5" s="98" t="s">
        <v>34</v>
      </c>
      <c r="G5" s="221"/>
      <c r="H5" s="223"/>
      <c r="I5" s="223"/>
      <c r="J5" s="219"/>
      <c r="K5" s="219"/>
      <c r="L5" s="97" t="s">
        <v>32</v>
      </c>
      <c r="M5" s="97" t="s">
        <v>39</v>
      </c>
      <c r="N5" s="97" t="s">
        <v>40</v>
      </c>
    </row>
    <row r="6" spans="1:17" ht="30" x14ac:dyDescent="0.25">
      <c r="A6" s="120">
        <v>1</v>
      </c>
      <c r="B6" s="28" t="s">
        <v>166</v>
      </c>
      <c r="C6" s="14">
        <v>127</v>
      </c>
      <c r="D6" s="28" t="s">
        <v>76</v>
      </c>
      <c r="E6" s="15" t="s">
        <v>167</v>
      </c>
      <c r="F6" s="15">
        <v>900</v>
      </c>
      <c r="G6" s="25">
        <f>F6/C6</f>
        <v>7.0866141732283463</v>
      </c>
      <c r="H6" s="25">
        <v>1</v>
      </c>
      <c r="I6" s="14">
        <v>1</v>
      </c>
      <c r="J6" s="15">
        <v>1.5</v>
      </c>
      <c r="K6" s="20" t="s">
        <v>51</v>
      </c>
      <c r="L6" s="20" t="s">
        <v>44</v>
      </c>
      <c r="M6" s="37" t="s">
        <v>71</v>
      </c>
      <c r="N6" s="37" t="s">
        <v>55</v>
      </c>
    </row>
    <row r="7" spans="1:17" ht="30" x14ac:dyDescent="0.25">
      <c r="A7" s="120">
        <v>2</v>
      </c>
      <c r="B7" s="28" t="s">
        <v>166</v>
      </c>
      <c r="C7" s="14">
        <v>127</v>
      </c>
      <c r="D7" s="28" t="s">
        <v>76</v>
      </c>
      <c r="E7" s="15" t="s">
        <v>167</v>
      </c>
      <c r="F7" s="15">
        <v>900</v>
      </c>
      <c r="G7" s="25">
        <f t="shared" ref="G7:G45" si="0">F7/C7</f>
        <v>7.0866141732283463</v>
      </c>
      <c r="H7" s="25">
        <v>2</v>
      </c>
      <c r="I7" s="231" t="s">
        <v>231</v>
      </c>
      <c r="J7" s="15">
        <v>1.5</v>
      </c>
      <c r="K7" s="19" t="s">
        <v>51</v>
      </c>
      <c r="L7" s="19" t="s">
        <v>44</v>
      </c>
      <c r="M7" s="15" t="s">
        <v>72</v>
      </c>
      <c r="N7" s="15" t="s">
        <v>56</v>
      </c>
    </row>
    <row r="8" spans="1:17" ht="63" customHeight="1" x14ac:dyDescent="0.25">
      <c r="A8" s="120">
        <v>3</v>
      </c>
      <c r="B8" s="6" t="s">
        <v>166</v>
      </c>
      <c r="C8" s="14">
        <v>127</v>
      </c>
      <c r="D8" s="28" t="s">
        <v>76</v>
      </c>
      <c r="E8" s="15" t="s">
        <v>168</v>
      </c>
      <c r="F8" s="15">
        <v>940</v>
      </c>
      <c r="G8" s="25">
        <f t="shared" si="0"/>
        <v>7.4015748031496065</v>
      </c>
      <c r="H8" s="25">
        <v>2</v>
      </c>
      <c r="I8" s="232"/>
      <c r="J8" s="15">
        <v>1.5</v>
      </c>
      <c r="K8" s="19" t="s">
        <v>51</v>
      </c>
      <c r="L8" s="19" t="s">
        <v>44</v>
      </c>
      <c r="M8" s="37" t="s">
        <v>73</v>
      </c>
      <c r="N8" s="37" t="s">
        <v>55</v>
      </c>
    </row>
    <row r="9" spans="1:17" ht="45" x14ac:dyDescent="0.25">
      <c r="A9" s="120">
        <v>4</v>
      </c>
      <c r="B9" s="15" t="s">
        <v>169</v>
      </c>
      <c r="C9" s="14">
        <v>127</v>
      </c>
      <c r="D9" s="21" t="s">
        <v>170</v>
      </c>
      <c r="E9" s="15" t="s">
        <v>171</v>
      </c>
      <c r="F9" s="15">
        <f>520+640</f>
        <v>1160</v>
      </c>
      <c r="G9" s="25">
        <f t="shared" si="0"/>
        <v>9.1338582677165352</v>
      </c>
      <c r="H9" s="25">
        <v>2</v>
      </c>
      <c r="I9" s="14" t="s">
        <v>232</v>
      </c>
      <c r="J9" s="15">
        <v>1.5</v>
      </c>
      <c r="K9" s="19" t="s">
        <v>51</v>
      </c>
      <c r="L9" s="19" t="s">
        <v>44</v>
      </c>
      <c r="M9" s="15" t="s">
        <v>74</v>
      </c>
      <c r="N9" s="15" t="s">
        <v>55</v>
      </c>
    </row>
    <row r="10" spans="1:17" ht="120" x14ac:dyDescent="0.25">
      <c r="A10" s="120">
        <v>5</v>
      </c>
      <c r="B10" s="15" t="s">
        <v>172</v>
      </c>
      <c r="C10" s="14">
        <v>127</v>
      </c>
      <c r="D10" s="21" t="s">
        <v>173</v>
      </c>
      <c r="E10" s="15" t="s">
        <v>177</v>
      </c>
      <c r="F10" s="15">
        <f>(1*100)+(1*100)+(1*160)+(1*100)+(3*340)</f>
        <v>1480</v>
      </c>
      <c r="G10" s="25">
        <f t="shared" si="0"/>
        <v>11.653543307086615</v>
      </c>
      <c r="H10" s="25">
        <v>2</v>
      </c>
      <c r="I10" s="14" t="s">
        <v>233</v>
      </c>
      <c r="J10" s="15">
        <v>2.5</v>
      </c>
      <c r="K10" s="119" t="s">
        <v>51</v>
      </c>
      <c r="L10" s="19" t="s">
        <v>44</v>
      </c>
      <c r="M10" s="37" t="s">
        <v>75</v>
      </c>
      <c r="N10" s="37" t="s">
        <v>277</v>
      </c>
    </row>
    <row r="11" spans="1:17" ht="90" x14ac:dyDescent="0.25">
      <c r="A11" s="120">
        <v>6</v>
      </c>
      <c r="B11" s="15" t="s">
        <v>174</v>
      </c>
      <c r="C11" s="14">
        <v>127</v>
      </c>
      <c r="D11" s="21" t="s">
        <v>175</v>
      </c>
      <c r="E11" s="15" t="s">
        <v>176</v>
      </c>
      <c r="F11" s="15">
        <f>(1*220)+(2*100)+(3*340)</f>
        <v>1440</v>
      </c>
      <c r="G11" s="25">
        <f t="shared" si="0"/>
        <v>11.338582677165354</v>
      </c>
      <c r="H11" s="25">
        <v>2</v>
      </c>
      <c r="I11" s="14" t="s">
        <v>234</v>
      </c>
      <c r="J11" s="15">
        <v>2.5</v>
      </c>
      <c r="K11" s="119" t="s">
        <v>51</v>
      </c>
      <c r="L11" s="19" t="s">
        <v>44</v>
      </c>
      <c r="M11" s="15" t="s">
        <v>72</v>
      </c>
      <c r="N11" s="15" t="s">
        <v>277</v>
      </c>
    </row>
    <row r="12" spans="1:17" ht="30" x14ac:dyDescent="0.25">
      <c r="A12" s="120">
        <v>7</v>
      </c>
      <c r="B12" s="15" t="s">
        <v>178</v>
      </c>
      <c r="C12" s="14">
        <v>127</v>
      </c>
      <c r="D12" s="21" t="s">
        <v>179</v>
      </c>
      <c r="E12" s="15" t="s">
        <v>180</v>
      </c>
      <c r="F12" s="15">
        <f>(1*1240)+(1*100)</f>
        <v>1340</v>
      </c>
      <c r="G12" s="25">
        <f t="shared" si="0"/>
        <v>10.551181102362206</v>
      </c>
      <c r="H12" s="25">
        <v>2</v>
      </c>
      <c r="I12" s="14" t="s">
        <v>235</v>
      </c>
      <c r="J12" s="15">
        <v>2.5</v>
      </c>
      <c r="K12" s="119" t="s">
        <v>51</v>
      </c>
      <c r="L12" s="19" t="s">
        <v>44</v>
      </c>
      <c r="M12" s="37" t="s">
        <v>73</v>
      </c>
      <c r="N12" s="37" t="s">
        <v>57</v>
      </c>
    </row>
    <row r="13" spans="1:17" ht="105" x14ac:dyDescent="0.25">
      <c r="A13" s="120">
        <v>8</v>
      </c>
      <c r="B13" s="15" t="s">
        <v>181</v>
      </c>
      <c r="C13" s="14">
        <v>127</v>
      </c>
      <c r="D13" s="21" t="s">
        <v>182</v>
      </c>
      <c r="E13" s="15" t="s">
        <v>227</v>
      </c>
      <c r="F13" s="15">
        <f>(4*100)+(2*160)+(1*220)</f>
        <v>940</v>
      </c>
      <c r="G13" s="25">
        <f t="shared" si="0"/>
        <v>7.4015748031496065</v>
      </c>
      <c r="H13" s="25">
        <v>2</v>
      </c>
      <c r="I13" s="14" t="s">
        <v>236</v>
      </c>
      <c r="J13" s="15">
        <v>1.5</v>
      </c>
      <c r="K13" s="119" t="s">
        <v>51</v>
      </c>
      <c r="L13" s="19" t="s">
        <v>44</v>
      </c>
      <c r="M13" s="37" t="s">
        <v>73</v>
      </c>
      <c r="N13" s="15" t="s">
        <v>55</v>
      </c>
    </row>
    <row r="14" spans="1:17" ht="30" x14ac:dyDescent="0.25">
      <c r="A14" s="120">
        <v>9</v>
      </c>
      <c r="B14" s="15" t="s">
        <v>183</v>
      </c>
      <c r="C14" s="14">
        <v>127</v>
      </c>
      <c r="D14" s="21" t="s">
        <v>185</v>
      </c>
      <c r="E14" s="15" t="s">
        <v>186</v>
      </c>
      <c r="F14" s="15">
        <f>(1*1120)</f>
        <v>1120</v>
      </c>
      <c r="G14" s="25">
        <f t="shared" si="0"/>
        <v>8.8188976377952759</v>
      </c>
      <c r="H14" s="25">
        <v>2</v>
      </c>
      <c r="I14" s="14" t="s">
        <v>237</v>
      </c>
      <c r="J14" s="15">
        <v>1.5</v>
      </c>
      <c r="K14" s="119" t="s">
        <v>51</v>
      </c>
      <c r="L14" s="19" t="s">
        <v>44</v>
      </c>
      <c r="M14" s="37" t="s">
        <v>73</v>
      </c>
      <c r="N14" s="37" t="s">
        <v>55</v>
      </c>
    </row>
    <row r="15" spans="1:17" ht="60" x14ac:dyDescent="0.25">
      <c r="A15" s="120">
        <v>10</v>
      </c>
      <c r="B15" s="15" t="s">
        <v>48</v>
      </c>
      <c r="C15" s="14">
        <v>127</v>
      </c>
      <c r="D15" s="21" t="s">
        <v>187</v>
      </c>
      <c r="E15" s="15" t="s">
        <v>228</v>
      </c>
      <c r="F15" s="15">
        <f>200+100+400+600</f>
        <v>1300</v>
      </c>
      <c r="G15" s="25">
        <f t="shared" si="0"/>
        <v>10.236220472440944</v>
      </c>
      <c r="H15" s="25">
        <v>2</v>
      </c>
      <c r="I15" s="14" t="s">
        <v>238</v>
      </c>
      <c r="J15" s="15">
        <v>2.5</v>
      </c>
      <c r="K15" s="19" t="s">
        <v>52</v>
      </c>
      <c r="L15" s="19" t="s">
        <v>44</v>
      </c>
      <c r="M15" s="37" t="s">
        <v>73</v>
      </c>
      <c r="N15" s="15" t="s">
        <v>277</v>
      </c>
    </row>
    <row r="16" spans="1:17" ht="45" x14ac:dyDescent="0.25">
      <c r="A16" s="120">
        <v>11</v>
      </c>
      <c r="B16" s="15" t="s">
        <v>48</v>
      </c>
      <c r="C16" s="58">
        <v>127</v>
      </c>
      <c r="D16" s="59" t="s">
        <v>191</v>
      </c>
      <c r="E16" s="15" t="s">
        <v>229</v>
      </c>
      <c r="F16" s="17">
        <f>500+500+500</f>
        <v>1500</v>
      </c>
      <c r="G16" s="25">
        <f t="shared" si="0"/>
        <v>11.811023622047244</v>
      </c>
      <c r="H16" s="25">
        <v>2</v>
      </c>
      <c r="I16" s="58" t="s">
        <v>239</v>
      </c>
      <c r="J16" s="15">
        <v>2.5</v>
      </c>
      <c r="K16" s="119" t="s">
        <v>52</v>
      </c>
      <c r="L16" s="119" t="s">
        <v>44</v>
      </c>
      <c r="M16" s="37" t="s">
        <v>73</v>
      </c>
      <c r="N16" s="15" t="s">
        <v>277</v>
      </c>
      <c r="Q16" s="23">
        <f>SUM(F26:F45)</f>
        <v>36630</v>
      </c>
    </row>
    <row r="17" spans="1:14" ht="30" x14ac:dyDescent="0.25">
      <c r="A17" s="120">
        <v>12</v>
      </c>
      <c r="B17" s="15" t="s">
        <v>48</v>
      </c>
      <c r="C17" s="14">
        <v>127</v>
      </c>
      <c r="D17" s="15" t="s">
        <v>188</v>
      </c>
      <c r="E17" s="15" t="s">
        <v>230</v>
      </c>
      <c r="F17" s="15">
        <f>800+300</f>
        <v>1100</v>
      </c>
      <c r="G17" s="25">
        <f t="shared" si="0"/>
        <v>8.6614173228346463</v>
      </c>
      <c r="H17" s="25">
        <v>2</v>
      </c>
      <c r="I17" s="14" t="s">
        <v>240</v>
      </c>
      <c r="J17" s="35">
        <v>1.5</v>
      </c>
      <c r="K17" s="15" t="s">
        <v>52</v>
      </c>
      <c r="L17" s="15" t="s">
        <v>44</v>
      </c>
      <c r="M17" s="37" t="s">
        <v>73</v>
      </c>
      <c r="N17" s="37" t="s">
        <v>55</v>
      </c>
    </row>
    <row r="18" spans="1:14" ht="30" x14ac:dyDescent="0.25">
      <c r="A18" s="120">
        <v>13</v>
      </c>
      <c r="B18" s="15" t="s">
        <v>48</v>
      </c>
      <c r="C18" s="14">
        <v>127</v>
      </c>
      <c r="D18" s="15" t="s">
        <v>189</v>
      </c>
      <c r="E18" s="15" t="s">
        <v>190</v>
      </c>
      <c r="F18" s="15">
        <f>600+600</f>
        <v>1200</v>
      </c>
      <c r="G18" s="25">
        <f t="shared" si="0"/>
        <v>9.4488188976377945</v>
      </c>
      <c r="H18" s="25">
        <v>2</v>
      </c>
      <c r="I18" s="14" t="s">
        <v>241</v>
      </c>
      <c r="J18" s="235">
        <v>1.5</v>
      </c>
      <c r="K18" s="15" t="s">
        <v>52</v>
      </c>
      <c r="L18" s="15" t="s">
        <v>44</v>
      </c>
      <c r="M18" s="15" t="s">
        <v>294</v>
      </c>
      <c r="N18" s="15" t="s">
        <v>55</v>
      </c>
    </row>
    <row r="19" spans="1:14" ht="45" x14ac:dyDescent="0.25">
      <c r="A19" s="120">
        <v>14</v>
      </c>
      <c r="B19" s="15" t="s">
        <v>49</v>
      </c>
      <c r="C19" s="14">
        <v>127</v>
      </c>
      <c r="D19" s="15" t="s">
        <v>192</v>
      </c>
      <c r="E19" s="17" t="s">
        <v>229</v>
      </c>
      <c r="F19" s="17">
        <f>500+500+500</f>
        <v>1500</v>
      </c>
      <c r="G19" s="25">
        <f t="shared" si="0"/>
        <v>11.811023622047244</v>
      </c>
      <c r="H19" s="25">
        <v>2</v>
      </c>
      <c r="I19" s="16" t="s">
        <v>242</v>
      </c>
      <c r="J19" s="236">
        <v>2.5</v>
      </c>
      <c r="K19" s="34" t="s">
        <v>52</v>
      </c>
      <c r="L19" s="17" t="s">
        <v>44</v>
      </c>
      <c r="M19" s="15" t="s">
        <v>295</v>
      </c>
      <c r="N19" s="15" t="s">
        <v>277</v>
      </c>
    </row>
    <row r="20" spans="1:14" ht="30" x14ac:dyDescent="0.25">
      <c r="A20" s="120">
        <v>15</v>
      </c>
      <c r="B20" s="15" t="s">
        <v>48</v>
      </c>
      <c r="C20" s="14">
        <v>127</v>
      </c>
      <c r="D20" s="22" t="s">
        <v>194</v>
      </c>
      <c r="E20" s="22" t="s">
        <v>195</v>
      </c>
      <c r="F20" s="22">
        <f>12*100</f>
        <v>1200</v>
      </c>
      <c r="G20" s="25">
        <f t="shared" si="0"/>
        <v>9.4488188976377945</v>
      </c>
      <c r="H20" s="25">
        <v>2</v>
      </c>
      <c r="I20" s="22" t="s">
        <v>243</v>
      </c>
      <c r="J20" s="36">
        <v>1.5</v>
      </c>
      <c r="K20" s="22" t="s">
        <v>52</v>
      </c>
      <c r="L20" s="15" t="s">
        <v>47</v>
      </c>
      <c r="M20" s="15" t="s">
        <v>296</v>
      </c>
      <c r="N20" s="37" t="s">
        <v>55</v>
      </c>
    </row>
    <row r="21" spans="1:14" ht="30" x14ac:dyDescent="0.25">
      <c r="A21" s="120">
        <v>16</v>
      </c>
      <c r="B21" s="15" t="s">
        <v>49</v>
      </c>
      <c r="C21" s="14">
        <v>127</v>
      </c>
      <c r="D21" s="15" t="s">
        <v>93</v>
      </c>
      <c r="E21" s="15" t="s">
        <v>130</v>
      </c>
      <c r="F21" s="15">
        <f>3*600</f>
        <v>1800</v>
      </c>
      <c r="G21" s="25">
        <f t="shared" si="0"/>
        <v>14.173228346456693</v>
      </c>
      <c r="H21" s="25">
        <v>2</v>
      </c>
      <c r="I21" s="15" t="s">
        <v>244</v>
      </c>
      <c r="J21" s="52">
        <v>2.5</v>
      </c>
      <c r="K21" s="15" t="s">
        <v>52</v>
      </c>
      <c r="L21" s="15" t="s">
        <v>47</v>
      </c>
      <c r="M21" s="15" t="s">
        <v>297</v>
      </c>
      <c r="N21" s="15" t="s">
        <v>277</v>
      </c>
    </row>
    <row r="22" spans="1:14" ht="30" x14ac:dyDescent="0.25">
      <c r="A22" s="120">
        <v>17</v>
      </c>
      <c r="B22" s="15" t="s">
        <v>48</v>
      </c>
      <c r="C22" s="14">
        <v>127</v>
      </c>
      <c r="D22" s="15" t="s">
        <v>196</v>
      </c>
      <c r="E22" s="15" t="s">
        <v>197</v>
      </c>
      <c r="F22" s="15">
        <f>3*600</f>
        <v>1800</v>
      </c>
      <c r="G22" s="25">
        <f t="shared" si="0"/>
        <v>14.173228346456693</v>
      </c>
      <c r="H22" s="25">
        <v>2</v>
      </c>
      <c r="I22" s="15" t="s">
        <v>245</v>
      </c>
      <c r="J22" s="15">
        <v>2.5</v>
      </c>
      <c r="K22" s="15" t="s">
        <v>52</v>
      </c>
      <c r="L22" s="15" t="s">
        <v>47</v>
      </c>
      <c r="M22" s="15" t="s">
        <v>74</v>
      </c>
      <c r="N22" s="37" t="s">
        <v>277</v>
      </c>
    </row>
    <row r="23" spans="1:14" ht="30" x14ac:dyDescent="0.25">
      <c r="A23" s="120">
        <v>18</v>
      </c>
      <c r="B23" s="15" t="s">
        <v>49</v>
      </c>
      <c r="C23" s="14">
        <v>127</v>
      </c>
      <c r="D23" s="15" t="s">
        <v>198</v>
      </c>
      <c r="E23" s="15" t="s">
        <v>197</v>
      </c>
      <c r="F23" s="15">
        <f>3*600</f>
        <v>1800</v>
      </c>
      <c r="G23" s="25">
        <f t="shared" si="0"/>
        <v>14.173228346456693</v>
      </c>
      <c r="H23" s="25">
        <v>2</v>
      </c>
      <c r="I23" s="15" t="s">
        <v>246</v>
      </c>
      <c r="J23" s="15">
        <v>2.5</v>
      </c>
      <c r="K23" s="15" t="s">
        <v>52</v>
      </c>
      <c r="L23" s="15" t="s">
        <v>47</v>
      </c>
      <c r="M23" s="15" t="s">
        <v>295</v>
      </c>
      <c r="N23" s="38" t="s">
        <v>57</v>
      </c>
    </row>
    <row r="24" spans="1:14" ht="30" x14ac:dyDescent="0.25">
      <c r="A24" s="120">
        <v>19</v>
      </c>
      <c r="B24" s="15" t="s">
        <v>48</v>
      </c>
      <c r="C24" s="14">
        <v>127</v>
      </c>
      <c r="D24" s="15" t="s">
        <v>3</v>
      </c>
      <c r="E24" s="15" t="s">
        <v>21</v>
      </c>
      <c r="F24" s="15">
        <f>2*600</f>
        <v>1200</v>
      </c>
      <c r="G24" s="25">
        <f t="shared" si="0"/>
        <v>9.4488188976377945</v>
      </c>
      <c r="H24" s="25">
        <v>2</v>
      </c>
      <c r="I24" s="15" t="s">
        <v>247</v>
      </c>
      <c r="J24" s="35">
        <v>1.5</v>
      </c>
      <c r="K24" s="15" t="s">
        <v>52</v>
      </c>
      <c r="L24" s="15" t="s">
        <v>47</v>
      </c>
      <c r="M24" s="15" t="s">
        <v>295</v>
      </c>
      <c r="N24" s="38" t="s">
        <v>278</v>
      </c>
    </row>
    <row r="25" spans="1:14" ht="45" x14ac:dyDescent="0.25">
      <c r="A25" s="120">
        <v>20</v>
      </c>
      <c r="B25" s="15" t="s">
        <v>49</v>
      </c>
      <c r="C25" s="14">
        <v>127</v>
      </c>
      <c r="D25" s="15" t="s">
        <v>199</v>
      </c>
      <c r="E25" s="15" t="s">
        <v>200</v>
      </c>
      <c r="F25" s="15">
        <f>600+100+100+600</f>
        <v>1400</v>
      </c>
      <c r="G25" s="25">
        <f t="shared" si="0"/>
        <v>11.023622047244094</v>
      </c>
      <c r="H25" s="25">
        <v>2</v>
      </c>
      <c r="I25" s="15" t="s">
        <v>248</v>
      </c>
      <c r="J25" s="53">
        <v>2.5</v>
      </c>
      <c r="K25" s="19" t="s">
        <v>52</v>
      </c>
      <c r="L25" s="15" t="s">
        <v>47</v>
      </c>
      <c r="M25" s="15" t="s">
        <v>298</v>
      </c>
      <c r="N25" s="15" t="s">
        <v>279</v>
      </c>
    </row>
    <row r="26" spans="1:14" ht="30" x14ac:dyDescent="0.25">
      <c r="A26" s="120">
        <v>21</v>
      </c>
      <c r="B26" s="94" t="s">
        <v>50</v>
      </c>
      <c r="C26" s="58">
        <v>220</v>
      </c>
      <c r="D26" s="15" t="s">
        <v>207</v>
      </c>
      <c r="E26" s="15" t="s">
        <v>208</v>
      </c>
      <c r="F26" s="15">
        <f>(645)</f>
        <v>645</v>
      </c>
      <c r="G26" s="25">
        <f t="shared" si="0"/>
        <v>2.9318181818181817</v>
      </c>
      <c r="H26" s="25">
        <v>1</v>
      </c>
      <c r="I26" s="15">
        <v>21</v>
      </c>
      <c r="J26" s="235">
        <v>1.5</v>
      </c>
      <c r="K26" s="119" t="s">
        <v>52</v>
      </c>
      <c r="L26" s="15" t="s">
        <v>47</v>
      </c>
      <c r="M26" s="15" t="s">
        <v>299</v>
      </c>
      <c r="N26" s="15" t="s">
        <v>280</v>
      </c>
    </row>
    <row r="27" spans="1:14" ht="30" x14ac:dyDescent="0.25">
      <c r="A27" s="120">
        <v>22</v>
      </c>
      <c r="B27" s="94" t="s">
        <v>50</v>
      </c>
      <c r="C27" s="60">
        <v>220</v>
      </c>
      <c r="D27" s="15" t="s">
        <v>205</v>
      </c>
      <c r="E27" s="15" t="s">
        <v>132</v>
      </c>
      <c r="F27" s="15">
        <f>645</f>
        <v>645</v>
      </c>
      <c r="G27" s="25">
        <f t="shared" si="0"/>
        <v>2.9318181818181817</v>
      </c>
      <c r="H27" s="25">
        <v>1</v>
      </c>
      <c r="I27" s="15">
        <v>22</v>
      </c>
      <c r="J27" s="235">
        <v>1.5</v>
      </c>
      <c r="K27" s="119" t="s">
        <v>52</v>
      </c>
      <c r="L27" s="15" t="s">
        <v>47</v>
      </c>
      <c r="M27" s="15" t="s">
        <v>299</v>
      </c>
      <c r="N27" s="15" t="s">
        <v>281</v>
      </c>
    </row>
    <row r="28" spans="1:14" ht="30" x14ac:dyDescent="0.25">
      <c r="A28" s="120">
        <v>23</v>
      </c>
      <c r="B28" s="94" t="s">
        <v>50</v>
      </c>
      <c r="C28" s="60">
        <v>220</v>
      </c>
      <c r="D28" s="15" t="s">
        <v>206</v>
      </c>
      <c r="E28" s="15" t="s">
        <v>136</v>
      </c>
      <c r="F28" s="15">
        <f>877</f>
        <v>877</v>
      </c>
      <c r="G28" s="25">
        <f t="shared" si="0"/>
        <v>3.9863636363636363</v>
      </c>
      <c r="H28" s="25">
        <v>2</v>
      </c>
      <c r="I28" s="15" t="s">
        <v>249</v>
      </c>
      <c r="J28" s="235">
        <v>1.5</v>
      </c>
      <c r="K28" s="119" t="s">
        <v>52</v>
      </c>
      <c r="L28" s="15" t="s">
        <v>47</v>
      </c>
      <c r="M28" s="15" t="s">
        <v>299</v>
      </c>
      <c r="N28" s="15" t="s">
        <v>56</v>
      </c>
    </row>
    <row r="29" spans="1:14" ht="30" x14ac:dyDescent="0.25">
      <c r="A29" s="120">
        <v>24</v>
      </c>
      <c r="B29" s="94" t="s">
        <v>50</v>
      </c>
      <c r="C29" s="58">
        <v>220</v>
      </c>
      <c r="D29" s="15" t="s">
        <v>211</v>
      </c>
      <c r="E29" s="15" t="s">
        <v>210</v>
      </c>
      <c r="F29" s="15">
        <f>877*1</f>
        <v>877</v>
      </c>
      <c r="G29" s="25">
        <f t="shared" si="0"/>
        <v>3.9863636363636363</v>
      </c>
      <c r="H29" s="25">
        <v>2</v>
      </c>
      <c r="I29" s="15" t="s">
        <v>250</v>
      </c>
      <c r="J29" s="235">
        <v>1.5</v>
      </c>
      <c r="K29" s="119" t="s">
        <v>52</v>
      </c>
      <c r="L29" s="15" t="s">
        <v>47</v>
      </c>
      <c r="M29" s="15" t="s">
        <v>299</v>
      </c>
      <c r="N29" s="15" t="s">
        <v>282</v>
      </c>
    </row>
    <row r="30" spans="1:14" ht="30" x14ac:dyDescent="0.25">
      <c r="A30" s="120">
        <v>25</v>
      </c>
      <c r="B30" s="94" t="s">
        <v>50</v>
      </c>
      <c r="C30" s="60">
        <v>220</v>
      </c>
      <c r="D30" s="15" t="s">
        <v>209</v>
      </c>
      <c r="E30" s="15" t="s">
        <v>136</v>
      </c>
      <c r="F30" s="15">
        <v>877</v>
      </c>
      <c r="G30" s="25">
        <f t="shared" si="0"/>
        <v>3.9863636363636363</v>
      </c>
      <c r="H30" s="25">
        <v>2</v>
      </c>
      <c r="I30" s="15" t="s">
        <v>251</v>
      </c>
      <c r="J30" s="235">
        <v>1.5</v>
      </c>
      <c r="K30" s="119" t="s">
        <v>52</v>
      </c>
      <c r="L30" s="15" t="s">
        <v>47</v>
      </c>
      <c r="M30" s="15" t="s">
        <v>299</v>
      </c>
      <c r="N30" s="15" t="s">
        <v>283</v>
      </c>
    </row>
    <row r="31" spans="1:14" ht="30" x14ac:dyDescent="0.25">
      <c r="A31" s="120">
        <v>26</v>
      </c>
      <c r="B31" s="94" t="s">
        <v>50</v>
      </c>
      <c r="C31" s="58">
        <v>220</v>
      </c>
      <c r="D31" s="15" t="s">
        <v>81</v>
      </c>
      <c r="E31" s="15" t="s">
        <v>26</v>
      </c>
      <c r="F31" s="15">
        <f>5500</f>
        <v>5500</v>
      </c>
      <c r="G31" s="25">
        <f t="shared" si="0"/>
        <v>25</v>
      </c>
      <c r="H31" s="25">
        <v>2</v>
      </c>
      <c r="I31" s="15" t="s">
        <v>252</v>
      </c>
      <c r="J31" s="237">
        <v>4</v>
      </c>
      <c r="K31" s="119" t="s">
        <v>52</v>
      </c>
      <c r="L31" s="15" t="s">
        <v>47</v>
      </c>
      <c r="M31" s="15" t="s">
        <v>299</v>
      </c>
      <c r="N31" s="15" t="s">
        <v>284</v>
      </c>
    </row>
    <row r="32" spans="1:14" ht="30" x14ac:dyDescent="0.25">
      <c r="A32" s="120">
        <v>27</v>
      </c>
      <c r="B32" s="94" t="s">
        <v>50</v>
      </c>
      <c r="C32" s="58">
        <v>220</v>
      </c>
      <c r="D32" s="15" t="s">
        <v>83</v>
      </c>
      <c r="E32" s="15" t="s">
        <v>132</v>
      </c>
      <c r="F32" s="15">
        <f>645</f>
        <v>645</v>
      </c>
      <c r="G32" s="25">
        <f t="shared" si="0"/>
        <v>2.9318181818181817</v>
      </c>
      <c r="H32" s="25">
        <v>2</v>
      </c>
      <c r="I32" s="15" t="s">
        <v>253</v>
      </c>
      <c r="J32" s="235">
        <v>1.5</v>
      </c>
      <c r="K32" s="119" t="s">
        <v>52</v>
      </c>
      <c r="L32" s="15" t="s">
        <v>47</v>
      </c>
      <c r="M32" s="15" t="s">
        <v>299</v>
      </c>
      <c r="N32" s="15" t="s">
        <v>285</v>
      </c>
    </row>
    <row r="33" spans="1:14" ht="30" x14ac:dyDescent="0.25">
      <c r="A33" s="120">
        <v>28</v>
      </c>
      <c r="B33" s="94" t="s">
        <v>50</v>
      </c>
      <c r="C33" s="58">
        <v>220</v>
      </c>
      <c r="D33" s="15" t="s">
        <v>85</v>
      </c>
      <c r="E33" s="15" t="s">
        <v>26</v>
      </c>
      <c r="F33" s="15">
        <v>5500</v>
      </c>
      <c r="G33" s="25">
        <f t="shared" si="0"/>
        <v>25</v>
      </c>
      <c r="H33" s="25">
        <v>2</v>
      </c>
      <c r="I33" s="15" t="s">
        <v>254</v>
      </c>
      <c r="J33" s="237">
        <v>4</v>
      </c>
      <c r="K33" s="119" t="s">
        <v>52</v>
      </c>
      <c r="L33" s="15" t="s">
        <v>47</v>
      </c>
      <c r="M33" s="15" t="s">
        <v>299</v>
      </c>
      <c r="N33" s="15" t="s">
        <v>286</v>
      </c>
    </row>
    <row r="34" spans="1:14" ht="30" x14ac:dyDescent="0.25">
      <c r="A34" s="120">
        <v>29</v>
      </c>
      <c r="B34" s="94" t="s">
        <v>50</v>
      </c>
      <c r="C34" s="58">
        <v>220</v>
      </c>
      <c r="D34" s="15" t="s">
        <v>84</v>
      </c>
      <c r="E34" s="15" t="s">
        <v>201</v>
      </c>
      <c r="F34" s="15">
        <f>160+2027</f>
        <v>2187</v>
      </c>
      <c r="G34" s="25">
        <f t="shared" si="0"/>
        <v>9.9409090909090914</v>
      </c>
      <c r="H34" s="25">
        <v>2</v>
      </c>
      <c r="I34" s="15" t="s">
        <v>255</v>
      </c>
      <c r="J34" s="235">
        <v>1.5</v>
      </c>
      <c r="K34" s="119" t="s">
        <v>52</v>
      </c>
      <c r="L34" s="15" t="s">
        <v>47</v>
      </c>
      <c r="M34" s="15" t="s">
        <v>299</v>
      </c>
      <c r="N34" s="15" t="s">
        <v>287</v>
      </c>
    </row>
    <row r="35" spans="1:14" ht="30" x14ac:dyDescent="0.25">
      <c r="A35" s="120">
        <v>30</v>
      </c>
      <c r="B35" s="94" t="s">
        <v>50</v>
      </c>
      <c r="C35" s="58">
        <v>220</v>
      </c>
      <c r="D35" s="15" t="s">
        <v>214</v>
      </c>
      <c r="E35" s="15" t="s">
        <v>215</v>
      </c>
      <c r="F35" s="15">
        <v>877</v>
      </c>
      <c r="G35" s="25">
        <f t="shared" si="0"/>
        <v>3.9863636363636363</v>
      </c>
      <c r="H35" s="25">
        <v>2</v>
      </c>
      <c r="I35" s="15" t="s">
        <v>256</v>
      </c>
      <c r="J35" s="235">
        <v>1.5</v>
      </c>
      <c r="K35" s="119" t="s">
        <v>52</v>
      </c>
      <c r="L35" s="15" t="s">
        <v>47</v>
      </c>
      <c r="M35" s="15" t="s">
        <v>299</v>
      </c>
      <c r="N35" s="15" t="s">
        <v>282</v>
      </c>
    </row>
    <row r="36" spans="1:14" ht="30" x14ac:dyDescent="0.25">
      <c r="A36" s="120">
        <v>31</v>
      </c>
      <c r="B36" s="94" t="s">
        <v>50</v>
      </c>
      <c r="C36" s="60">
        <v>220</v>
      </c>
      <c r="D36" s="15" t="s">
        <v>212</v>
      </c>
      <c r="E36" s="15" t="s">
        <v>136</v>
      </c>
      <c r="F36" s="15">
        <v>877</v>
      </c>
      <c r="G36" s="25">
        <f t="shared" si="0"/>
        <v>3.9863636363636363</v>
      </c>
      <c r="H36" s="25">
        <v>2</v>
      </c>
      <c r="I36" s="233" t="s">
        <v>257</v>
      </c>
      <c r="J36" s="235">
        <v>1.5</v>
      </c>
      <c r="K36" s="119" t="s">
        <v>52</v>
      </c>
      <c r="L36" s="15" t="s">
        <v>47</v>
      </c>
      <c r="M36" s="15" t="s">
        <v>299</v>
      </c>
      <c r="N36" s="15" t="s">
        <v>288</v>
      </c>
    </row>
    <row r="37" spans="1:14" ht="30" x14ac:dyDescent="0.25">
      <c r="A37" s="120">
        <v>32</v>
      </c>
      <c r="B37" s="94" t="s">
        <v>50</v>
      </c>
      <c r="C37" s="60">
        <v>220</v>
      </c>
      <c r="D37" s="15" t="s">
        <v>213</v>
      </c>
      <c r="E37" s="15" t="s">
        <v>136</v>
      </c>
      <c r="F37" s="15">
        <v>877</v>
      </c>
      <c r="G37" s="25">
        <f t="shared" si="0"/>
        <v>3.9863636363636363</v>
      </c>
      <c r="H37" s="25">
        <v>2</v>
      </c>
      <c r="I37" s="234"/>
      <c r="J37" s="235">
        <v>1.5</v>
      </c>
      <c r="K37" s="119" t="s">
        <v>52</v>
      </c>
      <c r="L37" s="15" t="s">
        <v>47</v>
      </c>
      <c r="M37" s="15" t="s">
        <v>299</v>
      </c>
      <c r="N37" s="15" t="s">
        <v>282</v>
      </c>
    </row>
    <row r="38" spans="1:14" ht="30" x14ac:dyDescent="0.25">
      <c r="A38" s="120">
        <v>33</v>
      </c>
      <c r="B38" s="94" t="s">
        <v>50</v>
      </c>
      <c r="C38" s="58">
        <v>220</v>
      </c>
      <c r="D38" s="15" t="s">
        <v>202</v>
      </c>
      <c r="E38" s="15" t="s">
        <v>224</v>
      </c>
      <c r="F38" s="15">
        <f>73</f>
        <v>73</v>
      </c>
      <c r="G38" s="25">
        <f t="shared" si="0"/>
        <v>0.33181818181818185</v>
      </c>
      <c r="H38" s="25">
        <v>2</v>
      </c>
      <c r="I38" s="15" t="s">
        <v>258</v>
      </c>
      <c r="J38" s="235">
        <v>1.5</v>
      </c>
      <c r="K38" s="119" t="s">
        <v>52</v>
      </c>
      <c r="L38" s="15" t="s">
        <v>47</v>
      </c>
      <c r="M38" s="15" t="s">
        <v>299</v>
      </c>
      <c r="N38" s="15" t="s">
        <v>285</v>
      </c>
    </row>
    <row r="39" spans="1:14" ht="30" x14ac:dyDescent="0.25">
      <c r="A39" s="120">
        <v>34</v>
      </c>
      <c r="B39" s="94" t="s">
        <v>50</v>
      </c>
      <c r="C39" s="60">
        <v>220</v>
      </c>
      <c r="D39" s="15" t="s">
        <v>202</v>
      </c>
      <c r="E39" s="15" t="s">
        <v>136</v>
      </c>
      <c r="F39" s="15">
        <v>877</v>
      </c>
      <c r="G39" s="25">
        <f t="shared" si="0"/>
        <v>3.9863636363636363</v>
      </c>
      <c r="H39" s="25">
        <v>2</v>
      </c>
      <c r="I39" s="233" t="s">
        <v>259</v>
      </c>
      <c r="J39" s="235">
        <v>1.5</v>
      </c>
      <c r="K39" s="119" t="s">
        <v>52</v>
      </c>
      <c r="L39" s="15" t="s">
        <v>47</v>
      </c>
      <c r="M39" s="15" t="s">
        <v>299</v>
      </c>
      <c r="N39" s="15" t="s">
        <v>289</v>
      </c>
    </row>
    <row r="40" spans="1:14" ht="30" x14ac:dyDescent="0.25">
      <c r="A40" s="120">
        <v>35</v>
      </c>
      <c r="B40" s="94" t="s">
        <v>50</v>
      </c>
      <c r="C40" s="58">
        <v>220</v>
      </c>
      <c r="D40" s="15" t="s">
        <v>202</v>
      </c>
      <c r="E40" s="15" t="s">
        <v>136</v>
      </c>
      <c r="F40" s="15">
        <v>877</v>
      </c>
      <c r="G40" s="25">
        <f t="shared" si="0"/>
        <v>3.9863636363636363</v>
      </c>
      <c r="H40" s="25">
        <v>2</v>
      </c>
      <c r="I40" s="234"/>
      <c r="J40" s="235">
        <v>1.5</v>
      </c>
      <c r="K40" s="119" t="s">
        <v>52</v>
      </c>
      <c r="L40" s="15" t="s">
        <v>47</v>
      </c>
      <c r="M40" s="15" t="s">
        <v>299</v>
      </c>
      <c r="N40" s="15" t="s">
        <v>287</v>
      </c>
    </row>
    <row r="41" spans="1:14" ht="30" x14ac:dyDescent="0.25">
      <c r="A41" s="120">
        <v>36</v>
      </c>
      <c r="B41" s="94" t="s">
        <v>50</v>
      </c>
      <c r="C41" s="60">
        <v>220</v>
      </c>
      <c r="D41" s="15" t="s">
        <v>202</v>
      </c>
      <c r="E41" s="15" t="s">
        <v>136</v>
      </c>
      <c r="F41" s="15">
        <v>877</v>
      </c>
      <c r="G41" s="25">
        <f t="shared" si="0"/>
        <v>3.9863636363636363</v>
      </c>
      <c r="H41" s="25">
        <v>2</v>
      </c>
      <c r="I41" s="233" t="s">
        <v>260</v>
      </c>
      <c r="J41" s="235">
        <v>1.5</v>
      </c>
      <c r="K41" s="119" t="s">
        <v>52</v>
      </c>
      <c r="L41" s="15" t="s">
        <v>47</v>
      </c>
      <c r="M41" s="15" t="s">
        <v>299</v>
      </c>
      <c r="N41" s="15" t="s">
        <v>285</v>
      </c>
    </row>
    <row r="42" spans="1:14" ht="30" x14ac:dyDescent="0.25">
      <c r="A42" s="120">
        <v>37</v>
      </c>
      <c r="B42" s="94" t="s">
        <v>50</v>
      </c>
      <c r="C42" s="58">
        <v>220</v>
      </c>
      <c r="D42" s="15" t="s">
        <v>202</v>
      </c>
      <c r="E42" s="15" t="s">
        <v>136</v>
      </c>
      <c r="F42" s="15">
        <f>877</f>
        <v>877</v>
      </c>
      <c r="G42" s="25">
        <f t="shared" si="0"/>
        <v>3.9863636363636363</v>
      </c>
      <c r="H42" s="25">
        <v>2</v>
      </c>
      <c r="I42" s="234"/>
      <c r="J42" s="235">
        <v>1.5</v>
      </c>
      <c r="K42" s="119" t="s">
        <v>52</v>
      </c>
      <c r="L42" s="15" t="s">
        <v>47</v>
      </c>
      <c r="M42" s="15" t="s">
        <v>299</v>
      </c>
      <c r="N42" s="15" t="s">
        <v>285</v>
      </c>
    </row>
    <row r="43" spans="1:14" ht="30" x14ac:dyDescent="0.25">
      <c r="A43" s="60">
        <v>38</v>
      </c>
      <c r="B43" s="94" t="s">
        <v>50</v>
      </c>
      <c r="C43" s="58">
        <v>220</v>
      </c>
      <c r="D43" s="15" t="s">
        <v>203</v>
      </c>
      <c r="E43" s="15" t="s">
        <v>26</v>
      </c>
      <c r="F43" s="15">
        <f>5500</f>
        <v>5500</v>
      </c>
      <c r="G43" s="25">
        <f t="shared" si="0"/>
        <v>25</v>
      </c>
      <c r="H43" s="25">
        <v>2</v>
      </c>
      <c r="I43" s="233" t="s">
        <v>261</v>
      </c>
      <c r="J43" s="52">
        <v>4</v>
      </c>
      <c r="K43" s="119" t="s">
        <v>52</v>
      </c>
      <c r="L43" s="15" t="s">
        <v>47</v>
      </c>
      <c r="M43" s="15" t="s">
        <v>299</v>
      </c>
      <c r="N43" s="15" t="s">
        <v>290</v>
      </c>
    </row>
    <row r="44" spans="1:14" ht="35.25" customHeight="1" x14ac:dyDescent="0.25">
      <c r="A44" s="60">
        <v>39</v>
      </c>
      <c r="B44" s="94" t="s">
        <v>50</v>
      </c>
      <c r="C44" s="58">
        <v>220</v>
      </c>
      <c r="D44" s="15" t="s">
        <v>204</v>
      </c>
      <c r="E44" s="15" t="s">
        <v>26</v>
      </c>
      <c r="F44" s="15">
        <f>5500</f>
        <v>5500</v>
      </c>
      <c r="G44" s="25">
        <f t="shared" si="0"/>
        <v>25</v>
      </c>
      <c r="H44" s="25">
        <v>2</v>
      </c>
      <c r="I44" s="234"/>
      <c r="J44" s="52">
        <v>4</v>
      </c>
      <c r="K44" s="119" t="s">
        <v>52</v>
      </c>
      <c r="L44" s="15" t="s">
        <v>47</v>
      </c>
      <c r="M44" s="15" t="s">
        <v>299</v>
      </c>
      <c r="N44" s="15" t="s">
        <v>290</v>
      </c>
    </row>
    <row r="45" spans="1:14" ht="45" x14ac:dyDescent="0.25">
      <c r="A45" s="60">
        <v>40</v>
      </c>
      <c r="B45" s="94" t="s">
        <v>50</v>
      </c>
      <c r="C45" s="58">
        <v>220</v>
      </c>
      <c r="D45" s="15" t="s">
        <v>3</v>
      </c>
      <c r="E45" s="15" t="s">
        <v>225</v>
      </c>
      <c r="F45" s="15">
        <f>73+1520+72</f>
        <v>1665</v>
      </c>
      <c r="G45" s="25">
        <f t="shared" si="0"/>
        <v>7.5681818181818183</v>
      </c>
      <c r="H45" s="25">
        <v>2</v>
      </c>
      <c r="I45" s="15" t="s">
        <v>262</v>
      </c>
      <c r="J45" s="235">
        <v>1.5</v>
      </c>
      <c r="K45" s="119" t="s">
        <v>52</v>
      </c>
      <c r="L45" s="15" t="s">
        <v>47</v>
      </c>
      <c r="M45" s="15" t="s">
        <v>299</v>
      </c>
      <c r="N45" s="15" t="s">
        <v>291</v>
      </c>
    </row>
    <row r="46" spans="1:14" x14ac:dyDescent="0.25">
      <c r="A46" s="63"/>
      <c r="B46" s="94"/>
      <c r="C46" s="62"/>
      <c r="D46" s="61"/>
      <c r="E46" s="61"/>
      <c r="F46" s="275">
        <f>SUM(F6:F45)</f>
        <v>62650</v>
      </c>
      <c r="G46" s="25"/>
      <c r="H46" s="25"/>
      <c r="I46" s="15"/>
      <c r="J46" s="95"/>
      <c r="K46" s="61"/>
      <c r="L46" s="15"/>
      <c r="M46" s="15"/>
      <c r="N46" s="15"/>
    </row>
    <row r="47" spans="1:14" x14ac:dyDescent="0.25">
      <c r="A47" s="224" t="s">
        <v>43</v>
      </c>
      <c r="B47" s="225"/>
      <c r="C47" s="196" t="s">
        <v>292</v>
      </c>
      <c r="D47" s="197"/>
      <c r="E47" s="197"/>
      <c r="F47" s="197"/>
      <c r="G47" s="238">
        <v>67.559984235417758</v>
      </c>
      <c r="H47" s="108"/>
      <c r="I47" s="27"/>
      <c r="J47" s="54"/>
      <c r="K47" s="21"/>
      <c r="L47" s="15" t="s">
        <v>41</v>
      </c>
      <c r="M47" s="15">
        <v>3</v>
      </c>
      <c r="N47" s="38">
        <v>80</v>
      </c>
    </row>
    <row r="48" spans="1:14" x14ac:dyDescent="0.25">
      <c r="A48" s="267"/>
      <c r="B48" s="268"/>
      <c r="C48" s="196" t="s">
        <v>293</v>
      </c>
      <c r="D48" s="197"/>
      <c r="E48" s="197"/>
      <c r="F48" s="197"/>
      <c r="G48" s="264">
        <v>55.526405675249599</v>
      </c>
      <c r="H48" s="117"/>
      <c r="I48" s="117"/>
      <c r="J48" s="265"/>
      <c r="K48" s="116"/>
      <c r="L48" s="15" t="s">
        <v>41</v>
      </c>
      <c r="M48" s="116">
        <v>3</v>
      </c>
      <c r="N48" s="266">
        <v>80</v>
      </c>
    </row>
    <row r="49" spans="1:14" ht="15.75" customHeight="1" x14ac:dyDescent="0.25">
      <c r="A49" s="226"/>
      <c r="B49" s="227"/>
      <c r="C49" s="228" t="s">
        <v>42</v>
      </c>
      <c r="D49" s="190"/>
      <c r="E49" s="190"/>
      <c r="F49" s="191"/>
      <c r="G49" s="33"/>
      <c r="H49" s="33"/>
      <c r="I49" s="33"/>
      <c r="J49" s="33"/>
      <c r="K49" s="33"/>
      <c r="L49" s="33"/>
      <c r="M49" s="41"/>
      <c r="N49" s="39"/>
    </row>
    <row r="50" spans="1:14" s="32" customFormat="1" ht="15.75" customHeight="1" x14ac:dyDescent="0.25">
      <c r="A50" s="229" t="s">
        <v>46</v>
      </c>
      <c r="B50" s="230"/>
      <c r="C50" s="230"/>
      <c r="D50" s="230"/>
      <c r="E50" s="230"/>
      <c r="F50" s="275">
        <f>SUM(F6:F45)</f>
        <v>62650</v>
      </c>
      <c r="G50" s="31"/>
      <c r="H50" s="107"/>
      <c r="I50" s="31"/>
      <c r="J50" s="31"/>
      <c r="K50" s="31"/>
      <c r="L50" s="29"/>
      <c r="M50" s="42"/>
      <c r="N50" s="40"/>
    </row>
    <row r="51" spans="1:14" s="32" customFormat="1" ht="15.75" customHeight="1" x14ac:dyDescent="0.25">
      <c r="A51" s="269"/>
      <c r="B51" s="270"/>
      <c r="C51" s="270"/>
      <c r="D51" s="270"/>
      <c r="E51" s="270"/>
      <c r="F51" s="271"/>
      <c r="G51" s="272"/>
      <c r="H51" s="272"/>
      <c r="I51" s="272"/>
      <c r="J51" s="272"/>
      <c r="K51" s="272"/>
      <c r="L51" s="271"/>
      <c r="M51" s="273"/>
      <c r="N51" s="274"/>
    </row>
  </sheetData>
  <mergeCells count="22">
    <mergeCell ref="C47:F47"/>
    <mergeCell ref="C49:F49"/>
    <mergeCell ref="A50:E50"/>
    <mergeCell ref="J4:J5"/>
    <mergeCell ref="I7:I8"/>
    <mergeCell ref="I39:I40"/>
    <mergeCell ref="I41:I42"/>
    <mergeCell ref="I36:I37"/>
    <mergeCell ref="I43:I44"/>
    <mergeCell ref="C48:F48"/>
    <mergeCell ref="A47:B49"/>
    <mergeCell ref="L4:N4"/>
    <mergeCell ref="A1:N2"/>
    <mergeCell ref="A3:N3"/>
    <mergeCell ref="A4:B4"/>
    <mergeCell ref="C4:C5"/>
    <mergeCell ref="D4:D5"/>
    <mergeCell ref="E4:F4"/>
    <mergeCell ref="K4:K5"/>
    <mergeCell ref="G4:G5"/>
    <mergeCell ref="I4:I5"/>
    <mergeCell ref="H4:H5"/>
  </mergeCells>
  <phoneticPr fontId="11" type="noConversion"/>
  <pageMargins left="0.51181102362204722" right="0.11811023622047245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Carga de Iluminação</vt:lpstr>
      <vt:lpstr>PTUG e PTUE</vt:lpstr>
      <vt:lpstr>Potencia Ilumin.PTUG E PTUE</vt:lpstr>
      <vt:lpstr>Demanda Provável VA</vt:lpstr>
      <vt:lpstr>Divisão, Carga, seçao Circultos</vt:lpstr>
      <vt:lpstr>'Carga de Iluminação'!Area_de_impressao</vt:lpstr>
      <vt:lpstr>'Divisão, Carga, seçao Circultos'!Area_de_impressao</vt:lpstr>
      <vt:lpstr>'PTUG e PTUE'!Area_de_impressao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userr</cp:lastModifiedBy>
  <cp:lastPrinted>2016-07-06T14:02:29Z</cp:lastPrinted>
  <dcterms:created xsi:type="dcterms:W3CDTF">2016-06-23T19:43:49Z</dcterms:created>
  <dcterms:modified xsi:type="dcterms:W3CDTF">2022-07-18T01:06:20Z</dcterms:modified>
</cp:coreProperties>
</file>