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1TVc8-Mzk30H8iet8dX8mih3DzQSVkrTI\Estrutura de Pastas\Projetos\ESF - Botafogo\"/>
    </mc:Choice>
  </mc:AlternateContent>
  <xr:revisionPtr revIDLastSave="0" documentId="13_ncr:1_{D7148FFC-C8D2-483B-9A73-159933C4D9A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LANILHA" sheetId="1" r:id="rId1"/>
    <sheet name="MEMÓRIA DE CÁLCULO" sheetId="7" r:id="rId2"/>
    <sheet name="CRONOGRAMA" sheetId="3" r:id="rId3"/>
    <sheet name="BDI" sheetId="5" r:id="rId4"/>
  </sheets>
  <externalReferences>
    <externalReference r:id="rId5"/>
    <externalReference r:id="rId6"/>
  </externalReferences>
  <definedNames>
    <definedName name="_xlnm.Print_Area" localSheetId="2">CRONOGRAMA!$A$1:$R$29</definedName>
    <definedName name="_xlnm.Print_Area" localSheetId="1">'MEMÓRIA DE CÁLCULO'!$B$1:$L$448</definedName>
    <definedName name="_xlnm.Print_Area" localSheetId="0">PLANILHA!$A$1:$I$91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G333" i="7" l="1"/>
  <c r="D326" i="7"/>
  <c r="C326" i="7"/>
  <c r="B326" i="7"/>
  <c r="D335" i="7"/>
  <c r="B336" i="7"/>
  <c r="C336" i="7"/>
  <c r="D336" i="7"/>
  <c r="I53" i="1"/>
  <c r="D20" i="7"/>
  <c r="H440" i="7"/>
  <c r="D435" i="7"/>
  <c r="C435" i="7"/>
  <c r="H433" i="7"/>
  <c r="D427" i="7"/>
  <c r="C427" i="7"/>
  <c r="H425" i="7"/>
  <c r="D419" i="7"/>
  <c r="C419" i="7"/>
  <c r="D418" i="7"/>
  <c r="F414" i="7"/>
  <c r="H414" i="7" s="1"/>
  <c r="H415" i="7" s="1"/>
  <c r="B411" i="7"/>
  <c r="H408" i="7"/>
  <c r="H409" i="7" s="1"/>
  <c r="D405" i="7"/>
  <c r="C405" i="7"/>
  <c r="B405" i="7"/>
  <c r="H403" i="7"/>
  <c r="D399" i="7"/>
  <c r="C399" i="7"/>
  <c r="B399" i="7"/>
  <c r="H396" i="7"/>
  <c r="H397" i="7" s="1"/>
  <c r="D393" i="7"/>
  <c r="C393" i="7"/>
  <c r="B393" i="7"/>
  <c r="D392" i="7"/>
  <c r="H390" i="7"/>
  <c r="G211" i="7" s="1"/>
  <c r="H211" i="7" s="1"/>
  <c r="D386" i="7"/>
  <c r="C386" i="7"/>
  <c r="B386" i="7"/>
  <c r="H384" i="7"/>
  <c r="D380" i="7"/>
  <c r="C380" i="7"/>
  <c r="H378" i="7"/>
  <c r="D374" i="7"/>
  <c r="C374" i="7"/>
  <c r="D373" i="7"/>
  <c r="H370" i="7"/>
  <c r="H371" i="7" s="1"/>
  <c r="D365" i="7"/>
  <c r="C365" i="7"/>
  <c r="B365" i="7"/>
  <c r="G362" i="7"/>
  <c r="D358" i="7"/>
  <c r="C358" i="7"/>
  <c r="B358" i="7"/>
  <c r="H356" i="7"/>
  <c r="D349" i="7"/>
  <c r="C349" i="7"/>
  <c r="H346" i="7"/>
  <c r="H345" i="7"/>
  <c r="D342" i="7"/>
  <c r="C342" i="7"/>
  <c r="H339" i="7"/>
  <c r="H340" i="7" s="1"/>
  <c r="G324" i="7"/>
  <c r="D320" i="7"/>
  <c r="C320" i="7"/>
  <c r="B320" i="7"/>
  <c r="O318" i="7"/>
  <c r="Q318" i="7" s="1"/>
  <c r="G318" i="7"/>
  <c r="Q315" i="7"/>
  <c r="D312" i="7"/>
  <c r="C312" i="7"/>
  <c r="B312" i="7"/>
  <c r="G309" i="7"/>
  <c r="G308" i="7"/>
  <c r="D305" i="7"/>
  <c r="C305" i="7"/>
  <c r="B305" i="7"/>
  <c r="G303" i="7"/>
  <c r="D298" i="7"/>
  <c r="C298" i="7"/>
  <c r="B298" i="7"/>
  <c r="G296" i="7"/>
  <c r="D291" i="7"/>
  <c r="C291" i="7"/>
  <c r="D290" i="7"/>
  <c r="D284" i="7"/>
  <c r="C284" i="7"/>
  <c r="H281" i="7"/>
  <c r="H280" i="7"/>
  <c r="D280" i="7"/>
  <c r="H279" i="7"/>
  <c r="D279" i="7"/>
  <c r="H278" i="7"/>
  <c r="D278" i="7"/>
  <c r="H277" i="7"/>
  <c r="D277" i="7"/>
  <c r="H276" i="7"/>
  <c r="D276" i="7"/>
  <c r="H275" i="7"/>
  <c r="H274" i="7"/>
  <c r="H273" i="7"/>
  <c r="H272" i="7"/>
  <c r="H271" i="7"/>
  <c r="F270" i="7"/>
  <c r="H270" i="7" s="1"/>
  <c r="D270" i="7"/>
  <c r="H269" i="7"/>
  <c r="D269" i="7"/>
  <c r="H268" i="7"/>
  <c r="H267" i="7"/>
  <c r="H266" i="7"/>
  <c r="H265" i="7"/>
  <c r="H264" i="7"/>
  <c r="H263" i="7"/>
  <c r="D263" i="7"/>
  <c r="H262" i="7"/>
  <c r="H261" i="7"/>
  <c r="H260" i="7"/>
  <c r="H258" i="7"/>
  <c r="D255" i="7"/>
  <c r="C255" i="7"/>
  <c r="D254" i="7"/>
  <c r="H251" i="7"/>
  <c r="H250" i="7"/>
  <c r="D247" i="7"/>
  <c r="C247" i="7"/>
  <c r="B247" i="7"/>
  <c r="H245" i="7"/>
  <c r="D241" i="7"/>
  <c r="C241" i="7"/>
  <c r="B241" i="7"/>
  <c r="H237" i="7"/>
  <c r="H239" i="7" s="1"/>
  <c r="D234" i="7"/>
  <c r="C234" i="7"/>
  <c r="B234" i="7"/>
  <c r="H231" i="7"/>
  <c r="H230" i="7"/>
  <c r="G229" i="7"/>
  <c r="H229" i="7" s="1"/>
  <c r="H228" i="7"/>
  <c r="H227" i="7"/>
  <c r="G226" i="7"/>
  <c r="H226" i="7" s="1"/>
  <c r="D223" i="7"/>
  <c r="C223" i="7"/>
  <c r="B223" i="7"/>
  <c r="D217" i="7"/>
  <c r="C217" i="7"/>
  <c r="B217" i="7"/>
  <c r="H214" i="7"/>
  <c r="H213" i="7"/>
  <c r="H212" i="7"/>
  <c r="D208" i="7"/>
  <c r="C208" i="7"/>
  <c r="B208" i="7"/>
  <c r="D202" i="7"/>
  <c r="C202" i="7"/>
  <c r="E198" i="7"/>
  <c r="E197" i="7"/>
  <c r="G196" i="7"/>
  <c r="E196" i="7"/>
  <c r="G195" i="7"/>
  <c r="E195" i="7"/>
  <c r="H195" i="7" s="1"/>
  <c r="E194" i="7"/>
  <c r="D194" i="7"/>
  <c r="D264" i="7" s="1"/>
  <c r="G193" i="7"/>
  <c r="E193" i="7"/>
  <c r="H193" i="7" s="1"/>
  <c r="D193" i="7"/>
  <c r="C228" i="7" s="1"/>
  <c r="E192" i="7"/>
  <c r="H192" i="7" s="1"/>
  <c r="Q191" i="7"/>
  <c r="G191" i="7"/>
  <c r="E191" i="7"/>
  <c r="D191" i="7"/>
  <c r="C226" i="7" s="1"/>
  <c r="Q190" i="7"/>
  <c r="Q201" i="7" s="1"/>
  <c r="D188" i="7"/>
  <c r="C188" i="7"/>
  <c r="B188" i="7"/>
  <c r="H184" i="7"/>
  <c r="H183" i="7"/>
  <c r="H182" i="7"/>
  <c r="H181" i="7"/>
  <c r="H180" i="7"/>
  <c r="H179" i="7"/>
  <c r="H178" i="7"/>
  <c r="D178" i="7"/>
  <c r="D197" i="7" s="1"/>
  <c r="C231" i="7" s="1"/>
  <c r="H177" i="7"/>
  <c r="H176" i="7"/>
  <c r="H175" i="7"/>
  <c r="H174" i="7"/>
  <c r="H173" i="7"/>
  <c r="F172" i="7"/>
  <c r="H172" i="7" s="1"/>
  <c r="H171" i="7"/>
  <c r="H170" i="7"/>
  <c r="H169" i="7"/>
  <c r="D169" i="7"/>
  <c r="D266" i="7" s="1"/>
  <c r="H168" i="7"/>
  <c r="D168" i="7"/>
  <c r="D195" i="7" s="1"/>
  <c r="C229" i="7" s="1"/>
  <c r="D265" i="7" s="1"/>
  <c r="H167" i="7"/>
  <c r="H166" i="7"/>
  <c r="H165" i="7"/>
  <c r="H164" i="7"/>
  <c r="H163" i="7"/>
  <c r="H161" i="7"/>
  <c r="G157" i="7"/>
  <c r="H157" i="7" s="1"/>
  <c r="C157" i="7"/>
  <c r="G156" i="7"/>
  <c r="D156" i="7"/>
  <c r="C156" i="7"/>
  <c r="D176" i="7" s="1"/>
  <c r="D198" i="7" s="1"/>
  <c r="G155" i="7"/>
  <c r="D155" i="7"/>
  <c r="D154" i="7"/>
  <c r="H154" i="7" s="1"/>
  <c r="C154" i="7"/>
  <c r="D170" i="7" s="1"/>
  <c r="D196" i="7" s="1"/>
  <c r="C230" i="7" s="1"/>
  <c r="D153" i="7"/>
  <c r="H153" i="7" s="1"/>
  <c r="D152" i="7"/>
  <c r="H152" i="7" s="1"/>
  <c r="G151" i="7"/>
  <c r="G199" i="7" s="1"/>
  <c r="H199" i="7" s="1"/>
  <c r="D151" i="7"/>
  <c r="D150" i="7"/>
  <c r="H150" i="7" s="1"/>
  <c r="D149" i="7"/>
  <c r="H149" i="7" s="1"/>
  <c r="D148" i="7"/>
  <c r="H148" i="7" s="1"/>
  <c r="D147" i="7"/>
  <c r="H147" i="7" s="1"/>
  <c r="D144" i="7"/>
  <c r="C144" i="7"/>
  <c r="D143" i="7"/>
  <c r="H140" i="7"/>
  <c r="H139" i="7"/>
  <c r="H138" i="7"/>
  <c r="D135" i="7"/>
  <c r="C135" i="7"/>
  <c r="G132" i="7"/>
  <c r="E132" i="7"/>
  <c r="G131" i="7"/>
  <c r="E131" i="7"/>
  <c r="G130" i="7"/>
  <c r="E130" i="7"/>
  <c r="G129" i="7"/>
  <c r="E129" i="7"/>
  <c r="G128" i="7"/>
  <c r="E128" i="7"/>
  <c r="G127" i="7"/>
  <c r="E127" i="7"/>
  <c r="G126" i="7"/>
  <c r="E126" i="7"/>
  <c r="G125" i="7"/>
  <c r="E125" i="7"/>
  <c r="E124" i="7"/>
  <c r="G123" i="7"/>
  <c r="E123" i="7"/>
  <c r="C123" i="7"/>
  <c r="D175" i="7" s="1"/>
  <c r="G122" i="7"/>
  <c r="E122" i="7"/>
  <c r="G121" i="7"/>
  <c r="G133" i="7" s="1"/>
  <c r="F121" i="7"/>
  <c r="E121" i="7"/>
  <c r="E120" i="7"/>
  <c r="C120" i="7"/>
  <c r="E119" i="7"/>
  <c r="E118" i="7"/>
  <c r="E117" i="7"/>
  <c r="E116" i="7"/>
  <c r="E115" i="7"/>
  <c r="E114" i="7"/>
  <c r="D111" i="7"/>
  <c r="C111" i="7"/>
  <c r="B111" i="7"/>
  <c r="H108" i="7"/>
  <c r="H107" i="7"/>
  <c r="H106" i="7"/>
  <c r="H105" i="7"/>
  <c r="D102" i="7"/>
  <c r="C102" i="7"/>
  <c r="B102" i="7"/>
  <c r="N100" i="7"/>
  <c r="H99" i="7"/>
  <c r="H98" i="7"/>
  <c r="H97" i="7"/>
  <c r="H96" i="7"/>
  <c r="H95" i="7"/>
  <c r="H94" i="7"/>
  <c r="H93" i="7"/>
  <c r="H92" i="7"/>
  <c r="H91" i="7"/>
  <c r="H90" i="7"/>
  <c r="E90" i="7"/>
  <c r="H89" i="7"/>
  <c r="G88" i="7"/>
  <c r="H88" i="7" s="1"/>
  <c r="H87" i="7"/>
  <c r="E87" i="7"/>
  <c r="H86" i="7"/>
  <c r="H85" i="7"/>
  <c r="H84" i="7"/>
  <c r="H83" i="7"/>
  <c r="H82" i="7"/>
  <c r="H81" i="7"/>
  <c r="D78" i="7"/>
  <c r="C78" i="7"/>
  <c r="N76" i="7"/>
  <c r="G75" i="7"/>
  <c r="H75" i="7" s="1"/>
  <c r="E75" i="7"/>
  <c r="G74" i="7"/>
  <c r="H74" i="7" s="1"/>
  <c r="J73" i="7"/>
  <c r="D71" i="7"/>
  <c r="C71" i="7"/>
  <c r="H67" i="7"/>
  <c r="H66" i="7"/>
  <c r="H65" i="7"/>
  <c r="H64" i="7"/>
  <c r="H63" i="7"/>
  <c r="H68" i="7" s="1"/>
  <c r="E63" i="7"/>
  <c r="H62" i="7"/>
  <c r="E62" i="7"/>
  <c r="D59" i="7"/>
  <c r="C59" i="7"/>
  <c r="D58" i="7"/>
  <c r="G56" i="7"/>
  <c r="D52" i="7"/>
  <c r="C52" i="7"/>
  <c r="B52" i="7"/>
  <c r="M50" i="7"/>
  <c r="H50" i="7"/>
  <c r="H49" i="7"/>
  <c r="D46" i="7"/>
  <c r="C46" i="7"/>
  <c r="B46" i="7"/>
  <c r="G43" i="7"/>
  <c r="G44" i="7" s="1"/>
  <c r="D40" i="7"/>
  <c r="C40" i="7"/>
  <c r="B40" i="7"/>
  <c r="M38" i="7"/>
  <c r="D32" i="7"/>
  <c r="C32" i="7"/>
  <c r="B32" i="7"/>
  <c r="H29" i="7"/>
  <c r="H30" i="7" s="1"/>
  <c r="D26" i="7"/>
  <c r="C26" i="7"/>
  <c r="M25" i="7"/>
  <c r="C20" i="7"/>
  <c r="B20" i="7"/>
  <c r="D19" i="7"/>
  <c r="H16" i="7"/>
  <c r="H17" i="7" s="1"/>
  <c r="D13" i="7"/>
  <c r="B13" i="7"/>
  <c r="D12" i="7"/>
  <c r="B12" i="7"/>
  <c r="E17" i="1"/>
  <c r="H215" i="7" l="1"/>
  <c r="H252" i="7"/>
  <c r="G310" i="7"/>
  <c r="H191" i="7"/>
  <c r="H347" i="7"/>
  <c r="H155" i="7"/>
  <c r="E55" i="7"/>
  <c r="G55" i="7" s="1"/>
  <c r="H109" i="7"/>
  <c r="H232" i="7"/>
  <c r="F220" i="7" s="1"/>
  <c r="G220" i="7" s="1"/>
  <c r="G221" i="7" s="1"/>
  <c r="H282" i="7"/>
  <c r="F287" i="7" s="1"/>
  <c r="F288" i="7" s="1"/>
  <c r="H100" i="7"/>
  <c r="H141" i="7"/>
  <c r="H76" i="7"/>
  <c r="H156" i="7"/>
  <c r="H185" i="7"/>
  <c r="H196" i="7"/>
  <c r="E237" i="7"/>
  <c r="D273" i="7"/>
  <c r="D268" i="7"/>
  <c r="G244" i="7"/>
  <c r="H23" i="7"/>
  <c r="H24" i="7" s="1"/>
  <c r="D274" i="7"/>
  <c r="E316" i="7"/>
  <c r="H151" i="7"/>
  <c r="G194" i="7"/>
  <c r="H194" i="7" s="1"/>
  <c r="G197" i="7"/>
  <c r="H197" i="7" s="1"/>
  <c r="G198" i="7"/>
  <c r="H198" i="7" s="1"/>
  <c r="A19" i="5"/>
  <c r="D58" i="1"/>
  <c r="G205" i="7" l="1"/>
  <c r="H205" i="7" s="1"/>
  <c r="H206" i="7" s="1"/>
  <c r="G37" i="7"/>
  <c r="G38" i="7" s="1"/>
  <c r="H158" i="7"/>
  <c r="H186" i="7" s="1"/>
  <c r="H200" i="7"/>
  <c r="E16" i="1"/>
  <c r="E25" i="1" l="1"/>
  <c r="Q18" i="3" l="1"/>
  <c r="Q17" i="3"/>
  <c r="Q15" i="3"/>
  <c r="Q13" i="3"/>
  <c r="Q12" i="3"/>
  <c r="Q11" i="3"/>
  <c r="O18" i="3"/>
  <c r="O17" i="3"/>
  <c r="O15" i="3"/>
  <c r="O12" i="3"/>
  <c r="O11" i="3"/>
  <c r="E66" i="1"/>
  <c r="E65" i="1"/>
  <c r="E73" i="1"/>
  <c r="E72" i="1"/>
  <c r="E50" i="1"/>
  <c r="E24" i="1" l="1"/>
  <c r="E38" i="1"/>
  <c r="E33" i="1" l="1"/>
  <c r="D59" i="1"/>
  <c r="A6" i="5" l="1"/>
  <c r="E8" i="5" l="1"/>
  <c r="I6" i="1" s="1"/>
  <c r="H52" i="1" s="1"/>
  <c r="I52" i="1" s="1"/>
  <c r="B20" i="3"/>
  <c r="B19" i="3"/>
  <c r="B18" i="3"/>
  <c r="B17" i="3"/>
  <c r="B16" i="3"/>
  <c r="B15" i="3"/>
  <c r="B14" i="3"/>
  <c r="B13" i="3"/>
  <c r="B12" i="3"/>
  <c r="B11" i="3"/>
  <c r="H60" i="1" l="1"/>
  <c r="I60" i="1" s="1"/>
  <c r="H17" i="1"/>
  <c r="I17" i="1" s="1"/>
  <c r="H66" i="1"/>
  <c r="I66" i="1" s="1"/>
  <c r="H16" i="1"/>
  <c r="I16" i="1" s="1"/>
  <c r="H15" i="1"/>
  <c r="I15" i="1" s="1"/>
  <c r="H73" i="1"/>
  <c r="I73" i="1" s="1"/>
  <c r="H79" i="1"/>
  <c r="H26" i="1"/>
  <c r="H59" i="1"/>
  <c r="H78" i="1"/>
  <c r="H43" i="1"/>
  <c r="H58" i="1"/>
  <c r="H56" i="1"/>
  <c r="H48" i="1"/>
  <c r="H64" i="1"/>
  <c r="H65" i="1"/>
  <c r="I65" i="1" s="1"/>
  <c r="H57" i="1"/>
  <c r="H77" i="1"/>
  <c r="H50" i="1"/>
  <c r="I50" i="1" s="1"/>
  <c r="H51" i="1"/>
  <c r="H32" i="1"/>
  <c r="H14" i="1"/>
  <c r="H38" i="1"/>
  <c r="I38" i="1" s="1"/>
  <c r="H35" i="1"/>
  <c r="H36" i="1"/>
  <c r="H34" i="1"/>
  <c r="H37" i="1"/>
  <c r="H33" i="1"/>
  <c r="I33" i="1" s="1"/>
  <c r="H9" i="1"/>
  <c r="H21" i="1"/>
  <c r="H22" i="1"/>
  <c r="H24" i="1"/>
  <c r="I24" i="1" s="1"/>
  <c r="H13" i="1"/>
  <c r="H23" i="1"/>
  <c r="H25" i="1"/>
  <c r="H12" i="1"/>
  <c r="H49" i="1"/>
  <c r="H71" i="1"/>
  <c r="H72" i="1"/>
  <c r="I72" i="1" l="1"/>
  <c r="I71" i="1"/>
  <c r="H70" i="1"/>
  <c r="H47" i="1"/>
  <c r="H42" i="1"/>
  <c r="H31" i="1"/>
  <c r="G39" i="1"/>
  <c r="H30" i="1"/>
  <c r="I70" i="1" l="1"/>
  <c r="I74" i="1" s="1"/>
  <c r="D19" i="3" l="1"/>
  <c r="O19" i="3" s="1"/>
  <c r="G19" i="3" l="1"/>
  <c r="M19" i="3"/>
  <c r="I19" i="3"/>
  <c r="Q19" i="3"/>
  <c r="K19" i="3"/>
  <c r="E26" i="1"/>
  <c r="I26" i="1" s="1"/>
  <c r="R19" i="3" l="1"/>
  <c r="S19" i="3" s="1"/>
  <c r="E36" i="1"/>
  <c r="I36" i="1" s="1"/>
  <c r="E37" i="1"/>
  <c r="I37" i="1" s="1"/>
  <c r="E79" i="1"/>
  <c r="I79" i="1" s="1"/>
  <c r="E78" i="1"/>
  <c r="I78" i="1" s="1"/>
  <c r="E58" i="1"/>
  <c r="I58" i="1" s="1"/>
  <c r="E59" i="1" l="1"/>
  <c r="I59" i="1" s="1"/>
  <c r="E22" i="1" l="1"/>
  <c r="I22" i="1" s="1"/>
  <c r="E42" i="1"/>
  <c r="I42" i="1" s="1"/>
  <c r="E51" i="1"/>
  <c r="I51" i="1" s="1"/>
  <c r="E48" i="1"/>
  <c r="I48" i="1" s="1"/>
  <c r="E47" i="1"/>
  <c r="I47" i="1" s="1"/>
  <c r="E56" i="1"/>
  <c r="I56" i="1" s="1"/>
  <c r="E13" i="1"/>
  <c r="I13" i="1" s="1"/>
  <c r="E77" i="1"/>
  <c r="I77" i="1" s="1"/>
  <c r="E64" i="1"/>
  <c r="I64" i="1" s="1"/>
  <c r="I67" i="1" l="1"/>
  <c r="D18" i="3" s="1"/>
  <c r="I80" i="1"/>
  <c r="D20" i="3" s="1"/>
  <c r="E32" i="1"/>
  <c r="I32" i="1" s="1"/>
  <c r="E21" i="1"/>
  <c r="I21" i="1" s="1"/>
  <c r="E30" i="1"/>
  <c r="I30" i="1" s="1"/>
  <c r="E23" i="1"/>
  <c r="I23" i="1" s="1"/>
  <c r="I25" i="1"/>
  <c r="E14" i="1"/>
  <c r="I14" i="1" s="1"/>
  <c r="E31" i="1"/>
  <c r="E49" i="1"/>
  <c r="I49" i="1" s="1"/>
  <c r="E57" i="1"/>
  <c r="I57" i="1" s="1"/>
  <c r="I61" i="1" s="1"/>
  <c r="I27" i="1" l="1"/>
  <c r="D13" i="3" s="1"/>
  <c r="O20" i="3"/>
  <c r="Q20" i="3"/>
  <c r="K20" i="3"/>
  <c r="I18" i="3"/>
  <c r="K18" i="3"/>
  <c r="G18" i="3"/>
  <c r="M18" i="3"/>
  <c r="M20" i="3"/>
  <c r="G20" i="3"/>
  <c r="D17" i="3"/>
  <c r="I20" i="3"/>
  <c r="D16" i="3"/>
  <c r="G16" i="3" s="1"/>
  <c r="E35" i="1"/>
  <c r="I35" i="1" s="1"/>
  <c r="I31" i="1"/>
  <c r="E12" i="1"/>
  <c r="I12" i="1" s="1"/>
  <c r="I18" i="1" s="1"/>
  <c r="E43" i="1"/>
  <c r="I43" i="1" s="1"/>
  <c r="E34" i="1"/>
  <c r="I34" i="1" s="1"/>
  <c r="E9" i="1"/>
  <c r="I9" i="1" s="1"/>
  <c r="R20" i="3" l="1"/>
  <c r="S20" i="3" s="1"/>
  <c r="R18" i="3"/>
  <c r="S18" i="3" s="1"/>
  <c r="M17" i="3"/>
  <c r="K17" i="3"/>
  <c r="I17" i="3"/>
  <c r="G17" i="3"/>
  <c r="I44" i="1"/>
  <c r="D15" i="3" s="1"/>
  <c r="D12" i="3"/>
  <c r="I16" i="3"/>
  <c r="K16" i="3"/>
  <c r="O13" i="3"/>
  <c r="M16" i="3"/>
  <c r="Q16" i="3"/>
  <c r="O16" i="3"/>
  <c r="I10" i="1"/>
  <c r="D11" i="3" s="1"/>
  <c r="I39" i="1"/>
  <c r="R17" i="3" l="1"/>
  <c r="S17" i="3" s="1"/>
  <c r="I15" i="3"/>
  <c r="G15" i="3"/>
  <c r="K15" i="3"/>
  <c r="M15" i="3"/>
  <c r="M12" i="3"/>
  <c r="K12" i="3"/>
  <c r="I12" i="3"/>
  <c r="G12" i="3"/>
  <c r="R16" i="3"/>
  <c r="S16" i="3" s="1"/>
  <c r="D14" i="3"/>
  <c r="M11" i="3"/>
  <c r="I11" i="3"/>
  <c r="G11" i="3"/>
  <c r="K11" i="3"/>
  <c r="I83" i="1"/>
  <c r="M13" i="3"/>
  <c r="G13" i="3"/>
  <c r="I13" i="3"/>
  <c r="K13" i="3"/>
  <c r="R15" i="3" l="1"/>
  <c r="S15" i="3" s="1"/>
  <c r="R12" i="3"/>
  <c r="S12" i="3" s="1"/>
  <c r="K14" i="3"/>
  <c r="K21" i="3" s="1"/>
  <c r="O14" i="3"/>
  <c r="M14" i="3"/>
  <c r="M21" i="3" s="1"/>
  <c r="Q14" i="3"/>
  <c r="Q21" i="3" s="1"/>
  <c r="G14" i="3"/>
  <c r="G21" i="3" s="1"/>
  <c r="R13" i="3"/>
  <c r="S13" i="3" s="1"/>
  <c r="I14" i="3"/>
  <c r="I21" i="3" s="1"/>
  <c r="D21" i="3"/>
  <c r="E19" i="3" s="1"/>
  <c r="R11" i="3"/>
  <c r="S11" i="3" s="1"/>
  <c r="E14" i="3" l="1"/>
  <c r="E20" i="3"/>
  <c r="E12" i="3"/>
  <c r="E16" i="3"/>
  <c r="E13" i="3"/>
  <c r="R14" i="3"/>
  <c r="S14" i="3" s="1"/>
  <c r="O21" i="3"/>
  <c r="E17" i="3"/>
  <c r="E11" i="3"/>
  <c r="E15" i="3"/>
  <c r="E18" i="3"/>
  <c r="E21" i="3" l="1"/>
  <c r="R21" i="3"/>
</calcChain>
</file>

<file path=xl/sharedStrings.xml><?xml version="1.0" encoding="utf-8"?>
<sst xmlns="http://schemas.openxmlformats.org/spreadsheetml/2006/main" count="808" uniqueCount="400">
  <si>
    <t>ITEM</t>
  </si>
  <si>
    <t>DESCRIÇÃO</t>
  </si>
  <si>
    <t>QUANTIDADE</t>
  </si>
  <si>
    <t>UNIDADE</t>
  </si>
  <si>
    <t>CÓDIGO</t>
  </si>
  <si>
    <t>PREÇO TOTAL</t>
  </si>
  <si>
    <t>1.1</t>
  </si>
  <si>
    <t>4.1</t>
  </si>
  <si>
    <t>TOTAL GERAL DA OBRA</t>
  </si>
  <si>
    <t>1.0</t>
  </si>
  <si>
    <t>SERVIÇOS PRELIMINARES</t>
  </si>
  <si>
    <t>2.0</t>
  </si>
  <si>
    <t>3.0</t>
  </si>
  <si>
    <t>4.0</t>
  </si>
  <si>
    <t>5.1</t>
  </si>
  <si>
    <t>6.0</t>
  </si>
  <si>
    <t>6.1</t>
  </si>
  <si>
    <t>7.0</t>
  </si>
  <si>
    <t>3.2</t>
  </si>
  <si>
    <t>SUBTOTAL</t>
  </si>
  <si>
    <t>3.3</t>
  </si>
  <si>
    <t>M²</t>
  </si>
  <si>
    <t>PINTURA</t>
  </si>
  <si>
    <t>M</t>
  </si>
  <si>
    <t>9.0</t>
  </si>
  <si>
    <t>M2</t>
  </si>
  <si>
    <t>2.1</t>
  </si>
  <si>
    <t>7.1</t>
  </si>
  <si>
    <t>3.1</t>
  </si>
  <si>
    <t>ALVENARIA</t>
  </si>
  <si>
    <t>7.2</t>
  </si>
  <si>
    <t>9.1</t>
  </si>
  <si>
    <t>5.0</t>
  </si>
  <si>
    <t>8.0</t>
  </si>
  <si>
    <t>8.1</t>
  </si>
  <si>
    <t>9.3</t>
  </si>
  <si>
    <t>10.0</t>
  </si>
  <si>
    <t>10.1</t>
  </si>
  <si>
    <t>TOTAL</t>
  </si>
  <si>
    <t>UN</t>
  </si>
  <si>
    <t>02.020.0002-A</t>
  </si>
  <si>
    <t>05.001.0008-A</t>
  </si>
  <si>
    <t>05.001.0015-A</t>
  </si>
  <si>
    <t>KG</t>
  </si>
  <si>
    <t>05.001.0134-A</t>
  </si>
  <si>
    <t>05.001.0147-A</t>
  </si>
  <si>
    <t>05.001.0350-A</t>
  </si>
  <si>
    <t>05.001.0820-A</t>
  </si>
  <si>
    <t>06.082.0050-A</t>
  </si>
  <si>
    <t>11.013.0006-A</t>
  </si>
  <si>
    <t>13.002.0017-0</t>
  </si>
  <si>
    <t>13.022.0020-A</t>
  </si>
  <si>
    <t>13.026.0010-A</t>
  </si>
  <si>
    <t>13.380.0012-A</t>
  </si>
  <si>
    <t>14.002.0240-A</t>
  </si>
  <si>
    <t>14.004.0010-A</t>
  </si>
  <si>
    <t>14.007.0334-A</t>
  </si>
  <si>
    <t>14.009.0085-A</t>
  </si>
  <si>
    <t>16.004.0055-A</t>
  </si>
  <si>
    <t>16.024.0004-A</t>
  </si>
  <si>
    <t>17.017.0010-A</t>
  </si>
  <si>
    <t>17.017.0020-A</t>
  </si>
  <si>
    <t>17.017.0321-A</t>
  </si>
  <si>
    <t>17.018.0044-A</t>
  </si>
  <si>
    <t>17.018.0185-A</t>
  </si>
  <si>
    <t>17.040.0021-A</t>
  </si>
  <si>
    <t>CRONOGRAMA FÍSICO-FINANCEIRO</t>
  </si>
  <si>
    <t>Local: MUNICÍPIO DE CARMO/RJ.</t>
  </si>
  <si>
    <t>PERÍODO</t>
  </si>
  <si>
    <t xml:space="preserve">DISCRIMINAÇÃO  </t>
  </si>
  <si>
    <t xml:space="preserve">VALOR DOS  </t>
  </si>
  <si>
    <t>PESO</t>
  </si>
  <si>
    <t>MÊS 01</t>
  </si>
  <si>
    <t>MÊS 02</t>
  </si>
  <si>
    <t>MÊS 03</t>
  </si>
  <si>
    <t>DE SERVIÇOS</t>
  </si>
  <si>
    <t>SERVIÇOS</t>
  </si>
  <si>
    <t>%</t>
  </si>
  <si>
    <t>SIMPL.%</t>
  </si>
  <si>
    <t>ACUM. %</t>
  </si>
  <si>
    <t>TOTAL EM REAIS</t>
  </si>
  <si>
    <t>UND</t>
  </si>
  <si>
    <t>MÊS 04</t>
  </si>
  <si>
    <t>4.2</t>
  </si>
  <si>
    <t>8.2</t>
  </si>
  <si>
    <t>6.2</t>
  </si>
  <si>
    <t>9.2</t>
  </si>
  <si>
    <t>5.2</t>
  </si>
  <si>
    <t>4.3</t>
  </si>
  <si>
    <t>BDI CONFORME ACÓRDÃO 2622/ 2013 TCU</t>
  </si>
  <si>
    <t>Composição do BDI sugerida</t>
  </si>
  <si>
    <t>Composição adotada</t>
  </si>
  <si>
    <t>BDI  Proposto:</t>
  </si>
  <si>
    <t>Administração Central (AC)</t>
  </si>
  <si>
    <t>BDI= ((1+(AC + S + R + G) x (1 + DF) x ( 1 + L))/(1 -(I+CPRB))</t>
  </si>
  <si>
    <t>Lucro (L)</t>
  </si>
  <si>
    <t>Despesas Financeiras (DF)</t>
  </si>
  <si>
    <t>Seguros (S)</t>
  </si>
  <si>
    <t>Garantias (G)</t>
  </si>
  <si>
    <r>
      <t>Observação</t>
    </r>
    <r>
      <rPr>
        <sz val="10"/>
        <rFont val="Arial"/>
        <family val="2"/>
      </rPr>
      <t>: 
Composição do BDI, intervalos admissíveis e Fórmula de Cálculo nos termos do Acórdão 325/2007 do TCU.</t>
    </r>
  </si>
  <si>
    <t xml:space="preserve">Riscos (R) </t>
  </si>
  <si>
    <t>Tributos (I)</t>
  </si>
  <si>
    <t>CPRB</t>
  </si>
  <si>
    <t>até 2%</t>
  </si>
  <si>
    <t xml:space="preserve">DATA: </t>
  </si>
  <si>
    <t>PREFEITURA MUNICIPAL DE CARMO</t>
  </si>
  <si>
    <t>05512</t>
  </si>
  <si>
    <t>IMPERMEABILIZANTE DE PEGA NORMAL, EM LATAS DE 18KG</t>
  </si>
  <si>
    <t>00520</t>
  </si>
  <si>
    <t>INTERRUPTOR DE SOBREPOR COM 2 TECLAS PARALELAS, DE 10A/250V</t>
  </si>
  <si>
    <t>14477</t>
  </si>
  <si>
    <t>15.005.0215-A</t>
  </si>
  <si>
    <t>ALIZAR EM MADEIRA, DE (5X2)CM, GRUPO V</t>
  </si>
  <si>
    <t>02259</t>
  </si>
  <si>
    <t>MARCO EM MADEIRA, DE (13X3)CM, GRUPO V</t>
  </si>
  <si>
    <t>02258</t>
  </si>
  <si>
    <t>PRAZO DE EXECUÇÃO: 6 MESES</t>
  </si>
  <si>
    <t xml:space="preserve">PLANILHA ORÇAMENTÁRIA </t>
  </si>
  <si>
    <t>PLACA DE IDENTIFICACAO DE OBRA PUBLICA, TIPO BANNER/PLOTER, CONSTITUIDA POR LONA E IMPRESSAO DIGITAL,INCLUSIVE SUPORTES DE MADEIRA.FORNECIMENTO E COLOCACAO</t>
  </si>
  <si>
    <t>BDI</t>
  </si>
  <si>
    <t>até 5,50%</t>
  </si>
  <si>
    <t>até 8,96%</t>
  </si>
  <si>
    <t>até 1,39%</t>
  </si>
  <si>
    <t>até 1,00%</t>
  </si>
  <si>
    <t>Intervalos máximos admissíveis</t>
  </si>
  <si>
    <t>até 1,27%</t>
  </si>
  <si>
    <t>até 5,00%</t>
  </si>
  <si>
    <t>Louise Melina Calado Lanate</t>
  </si>
  <si>
    <t>Arquiteta - CAU/BR - A186892-6</t>
  </si>
  <si>
    <t>COMPOSIÇÃO DO BDI</t>
  </si>
  <si>
    <t>2.2</t>
  </si>
  <si>
    <t>2.3</t>
  </si>
  <si>
    <t>COBERTURA</t>
  </si>
  <si>
    <t>3.4</t>
  </si>
  <si>
    <t>3.5</t>
  </si>
  <si>
    <t>REMOÇÕES E DEMOLIÇÕES</t>
  </si>
  <si>
    <t>ESQUADRIAS</t>
  </si>
  <si>
    <t>PISOS</t>
  </si>
  <si>
    <t xml:space="preserve">ACABAMENTOS </t>
  </si>
  <si>
    <t>MURO DE CONTENÇÃO</t>
  </si>
  <si>
    <t>SERVIÇOS  E EQUIPAMENTOS COMPLEMENTARES</t>
  </si>
  <si>
    <t>RECOMPOSIÇÃO DE JARDINS</t>
  </si>
  <si>
    <t>PAREDES, MUROS, MURETAS  E TETO</t>
  </si>
  <si>
    <t>RECOMPOSIÇÃO DA TEXTURA ONDE FOR NECESSÁRIO</t>
  </si>
  <si>
    <t>REFAZER EMBOÇO</t>
  </si>
  <si>
    <t>TROCA DE PISO</t>
  </si>
  <si>
    <t>RECOMPOSIÇÃO DE REVESTIMENTO DE PAREDE EM ÁREAS DE PERDA</t>
  </si>
  <si>
    <t>RECOMPOSIÇÃO DE RODA MEIO  EM ÁREAS DE PERDA</t>
  </si>
  <si>
    <t>MARCAÇÃO DE VAGAS</t>
  </si>
  <si>
    <t>CHAPISCO/EMBOÇO</t>
  </si>
  <si>
    <t>TIRAR AS GRADES DO MURO DE CONTENÇÃO</t>
  </si>
  <si>
    <t>TROCA DO INTERRUPTOR</t>
  </si>
  <si>
    <t>RECOLOCAÇÃO DE VIDRO QUEBRADO</t>
  </si>
  <si>
    <t>LIMPEZA DE PERGOLA</t>
  </si>
  <si>
    <t>FIXADOR DE PORTA</t>
  </si>
  <si>
    <t>MANGUEIRA PARA ÁGUA DO AR</t>
  </si>
  <si>
    <t>RECONDUÇÃO DA CALHA DE ÁGUA PLUVIAL</t>
  </si>
  <si>
    <t>TROCA DA TARTARUGA POR ARANDELA MAIS MODERNA</t>
  </si>
  <si>
    <t>DEMOLICAO DE REVESTIMENTO EM ARGAMASSA DE CIMENTO E AREIA EM PAREDE, 3%-DESGASTE DE FERRAMENTAS E EPI</t>
  </si>
  <si>
    <t>REMOÇÃO DO EMBOÇO DA ÁREAS QUE ESTÃO CAINDO</t>
  </si>
  <si>
    <t>ARRANCAMENTO DE GRADES,GRADIS,ALAMBRADOS,CERCAS E PORTOES, 3%-DESGASTE DE FERRAMENTAS E EPI</t>
  </si>
  <si>
    <t>PREÇO UNITÁRIO S/ BDI</t>
  </si>
  <si>
    <t>PREÇO UNITÁRIO C/ BDI</t>
  </si>
  <si>
    <t>PROTECAO PARA PORTA EM ACO INOX ESCOVADO,CHAPA N°14,COM 30CM DE ALTURA.FORNECIMENTO E COLOCACAO 3%-DESGASTE DE FERRAMENTAS E EPI 15%-PERDAS E DEMAIS MATERIAIS NECESSARIOS</t>
  </si>
  <si>
    <t>pintura das portas</t>
  </si>
  <si>
    <t>3.6</t>
  </si>
  <si>
    <t>REPINTURA INTERNA OU EXTERNA SOBRE FERRO EM BOM ESTADO,NAS CONDICOES DO ITEM 17.017.0320 E NA COR EXISTENTE 3%-DESGASTE DE FERRAMENTAS E EPI</t>
  </si>
  <si>
    <t>CHAPA DE AÇO PARA AS PORTAS</t>
  </si>
  <si>
    <t>CAIXONETE</t>
  </si>
  <si>
    <r>
      <rPr>
        <b/>
        <sz val="8"/>
        <rFont val="Arial"/>
        <family val="2"/>
      </rPr>
      <t>PINTURA</t>
    </r>
    <r>
      <rPr>
        <sz val="8"/>
        <rFont val="Arial"/>
        <family val="2"/>
      </rPr>
      <t xml:space="preserve"> DA PAREDE COM TINTA IMPERMEAVEL</t>
    </r>
  </si>
  <si>
    <t>4.4</t>
  </si>
  <si>
    <t>4.5</t>
  </si>
  <si>
    <t>4.6</t>
  </si>
  <si>
    <t>4.7</t>
  </si>
  <si>
    <t>4.8</t>
  </si>
  <si>
    <t>4.9</t>
  </si>
  <si>
    <t>PINTURA COM ESMALTE SINTETICO ALQUIDICO,PARA INTERIOR,ALTO BRILHO,BRILHANTE,ACETINADO OU FOSCO,ACABAMENTO PADRAO,EM DUAS DEMAOS SOBRE SUPERFICIE PREPARADA CONFORME O ITEM 17.017.0010,EXCLUSIVE ESTE PREPARO 3%-DESGASTE DE FERRAMENTAS E EPI</t>
  </si>
  <si>
    <t>CHAPIM</t>
  </si>
  <si>
    <t>REPINTURA COM TINTA LATEX,CLASSIFICACAO ECONOMICA,CONFORME A BNT NBR 15079,PARA INTERIOR,SOBRE SUPERFICIE EM BOM ESTADO E NA COR EXISTENTE,INCLUSIVE LIMPEZA,LEVE LIXAMENTO COM LIXA FINA,UMA DEMAO DE FUNDO PREPARADOR E UMA DE ACABAMENTO 3%-DESGASTE DE FERRAMENTAS E EPI</t>
  </si>
  <si>
    <t>repintura com tinta normal PAREDES E TETO</t>
  </si>
  <si>
    <t>REVESTIMENTO DE PAREDES COM AZULEJO BRANCO 15X15CM,QUALIDADE EXTRA,ASSENTES COM NATA DE CIMENTO COMUM,TENDO JUNTAS CORRIDAS COM 2MM,REJUNTADAS COM PASTA DE CIMENTO BRANCO,INCLUSIVE CHAPISCO DE CIMENTO E AREIA,NO TRACO 1:3 E EMBOCO COM ARGAMASSA DE CIMENTO,SAIBRO E AREIA,NO TRACO 1:3:3 COM ESPESSURA DE 2,5CM 3%-DESGASTE DE FERRAMENTAS E EPI</t>
  </si>
  <si>
    <t>PREPARO DE SUPERFICIES NOVAS,COM REVESTIMENTO LISO,INCLUSIVE LIXAMENTO,LIMPEZA,UMA DEMAO DE SELADOR ACRILICO,UMA DEMAO DE MASSA CORRIDA OU ACRILICA E NOVO LIXAMENTO COM REMOCAO DO PO RESIDUAL 3%-DESGASTE DE FERRAMENTAS E EPI</t>
  </si>
  <si>
    <t>REVESTIMENTO COM PASTILHAS CERAMICAS,COM MEDIDAS EM TORNO DE(2,5X2,5)CM,PLACAS DE (30X30)CM,CORES ECONOMICAS (BRANCO,BEGE,CINZA,AZUL,VERDE,MARROM E PRETO),INCLUSIVE CHAPISCO DE CIMENTO E AREIA,NO TRACO 1:3 E EMBOCO COM ARGAMASSA DE CIMENTO,SAIBRO E AREIA,NO TRACO 1:3:3,ASSENTES E REJUNTADAS COM PASTA DE CIMENTO BRANCO3%-DESGASTE DE FERRAMENTAS E EPI</t>
  </si>
  <si>
    <t>DEMOLICAO DE PISO DE LADRILHO COM RESPECTIVA CAMADA DE ARGAMASSA DE ASSENTAMENTO,INCLUSIVE EMPILHAMENTO LATERAL DENTRO DO CANTEIRO DE SERVICO 3%-DESGASTE DE FERRAMENTAS E EPI</t>
  </si>
  <si>
    <t>2.4</t>
  </si>
  <si>
    <t>6.3</t>
  </si>
  <si>
    <t>6.4</t>
  </si>
  <si>
    <t>ARANDELA EM ALUMINIO E VIDRO, USO INTERNO E EXTERNO, EXCLUSIVE LAMPADA, COM BASE PARA FIXACAO</t>
  </si>
  <si>
    <t>PRENDEDOR DE PORTA DE LATAO CROMADO,FIXADO NO PISO,HASTE ACIONADA POR PRESSAO DA PORTA OU DO PE.FORNECIMENTO</t>
  </si>
  <si>
    <t>LIMPEZA DE VIDROS,FEITA NOS DOIS LADOS,CONTADO UM LADO 12%-MATERIAL DE LIMPEZA</t>
  </si>
  <si>
    <t>VIDRO PLANO TRANSPARENTE,COMUM,DE 3MM DE ESPESSURA.FORNECIMENTO E COLOCACAO 10%-MATERIAL PARA FIXACAO DO VIDRO 3%-DESGASTE DE FERRAMENTAS E EPI</t>
  </si>
  <si>
    <t>MARCACAO DE QUADRA DE ESPORTE OU VAGA DE GARAGEM COM TINTA ACRILICA PROPRIA PARA PINTURA DE PISOS,COM UTILIZACAO DE SELADOR E SOLVENTE PROPRIO E FITA CREPE COMO LIMITADOR DE LINHAS ,MEDIDA PELA AREA REAL DE PINTURA 3%-DESGASTE DE FERRAMENTAS E EPI</t>
  </si>
  <si>
    <t>DRENO OU BARBACA EM TUBO DE PVC,DIAMETRO DE 2",INCLUSIVE FORNECIMENTO DO TUBO E MATERIAL DRENANTE ESTE PERCENTUAL REFERE-SE A DESGASTE DE FERRAMENTAS</t>
  </si>
  <si>
    <t>IMPERMEABILIZACAO DE AREA EXPOSTA S/PROTECAO MECANICA E S/TRANSITO,USANDO MANTA ASFALTICA,AUTOPROTEGIDA,C/ACABAMENTO POLETILENO NA FACE INFERIOR E FILME DE ALUMINIO NA FACE SUPERIOR,TIPO III-B C/ESP.3MM,APLICADA C/CHAMA DE MACARICO SOBRE PRIMER ASFALTICO,BASE AGUA ISENTO SOLVENTES,INCL.ESTE,SUBSTRATO C/CAIMENTO MINIMO 1%,EXCL.REGULARIZACAO,CONF.ABNT NBR 9952 3%-DESGASTE DE FERRAMENTAS E EPI</t>
  </si>
  <si>
    <t>CONDUTOR CIRCULAR PARA CALHA DE BEIRAL DE PVC,DN 88,INCLUSIVE CONEXOES.FORNECIMENTO E COLOCACAO 3%-DESGASTE DE FERRAMENTAS E EPI</t>
  </si>
  <si>
    <t>ESPELHO OU CHAPIM EM GRANITO CINZA ANDORINHA,20X2CM,POLIDO,ASSENTADO COMO NO ITEM 13.348.0010 3%-DESGASTE DE FERRAMENTAS E EPI</t>
  </si>
  <si>
    <t>6.5</t>
  </si>
  <si>
    <t>8.3</t>
  </si>
  <si>
    <t>9.4</t>
  </si>
  <si>
    <t>REPINTURA DAS GRADES DOS MUROS,  DAS COBERTURAS DE VIDRO E JANELAS E PORTÕES</t>
  </si>
  <si>
    <t>COLOCACAO DE PRENDEDOR DE PORTA,EM PISOS DE MADEIRA,EXCLUSIVE O FORNECIMENTO 3%-DESGASTE DE FERRAMENTAS E EPI</t>
  </si>
  <si>
    <t>EMBOCO INTERNO COM ARGAMASSA DE CIMENTO E SAIBRO,NO TRACO 1:6,COM 2,5CM DE ESPESSURA,INCLUSIVE CHAPISCO DE CIMENTO E AREIA,NO TRACO 1:3</t>
  </si>
  <si>
    <t>complemento do de cima</t>
  </si>
  <si>
    <t>aditivo sika 1</t>
  </si>
  <si>
    <t>PISO DE GRANITINA,COMPREENDENDO:A)LASTRO,COM 4CM DE ESPESSURA MEDIA,DE ARGAMASSA DE CIMENTO E AREIA GROSSA,NO TRACO 1:4;B) CAMADA DE GRANITINA,COM 3CM DE ESPESSURA,FEITA COM GRANILHA Nº1 PRETA E CIMENTO,SUPERFICIE ESTUCADA APOS A FUNDICAO,SEM POLIMENTO</t>
  </si>
  <si>
    <t>LIMPEZA E POLIMENTO DE PISO DE ALTA RESISTENCIA,ANTIGO,USANDO ESTUQUE COM ADESIVO,CIMENTO BRANCO E CORANTE,SENDO 2 POLIMENTOS MECANICOS 3%-DESGASTE DE FERRAMENTAS E EPI</t>
  </si>
  <si>
    <t>7.3</t>
  </si>
  <si>
    <t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15.005.0240)3%-DESGASTE DE FERRAMENTAS E EPI</t>
  </si>
  <si>
    <t>remoção dos ares das fachadas</t>
  </si>
  <si>
    <t>15.004.0151-A</t>
  </si>
  <si>
    <t>7.4</t>
  </si>
  <si>
    <t>INSTALACAO E ASSENTAMENTO DE BEBEDOURO OU LAVATORIO TIPO CALHA,EM BATERIA COM 1 PONTO A CADA 50CM(EXCLUSIVE FORNECIMENTODO APARELHO),COMPREENDENDO:1,00M DE TUBO DE PVC DE 32MM E 0,60M DE TUBO DE PVC DE 25MM,COM CONEXOES E ESGOTAMENTO EM PVC DE 50MM,ATE O RALO SIFONADO 3%-DESGASTE DE FERRAMENTAS E EPI</t>
  </si>
  <si>
    <t>17.017.0130-A</t>
  </si>
  <si>
    <t>REPINTURA INTERNA OU EXTERNA SOBRE MADEIRA COM TINTA A OLEO BRILHANTE OU ACETINADA,SOBRE FUNDO SINTETICO NIVELADOR,INCLUSIVE ESTE,COM LIXAMENTO E DUAS DEMAOS DE ACABAMENTO,NA COR EXISTENTE 3%-DESGASTE DE FERRAMENTAS E EPI</t>
  </si>
  <si>
    <t>09.003.0010-A</t>
  </si>
  <si>
    <t>ARBUSTO PARA JARDINS,TIPO LANTANA (LANTANA CAMARA) OU SIMILAR,COM APROXIMADAMENTE 60CM DE ALTURA.FORNECIMENTO</t>
  </si>
  <si>
    <t>09.002.0010-A</t>
  </si>
  <si>
    <t>PLANTIO DE ARBUSTOS DE 50 A 100CM DE ALTURA,FORMANDO JARDIM COM 6 UNIDADES POR METRO QUADRADO,EXCLUSIVE O FORNECIMENTO 3%-DESGASTE DE FERRAMENTAS E EPI</t>
  </si>
  <si>
    <t>10.2</t>
  </si>
  <si>
    <t>10.3</t>
  </si>
  <si>
    <t>11106</t>
  </si>
  <si>
    <t>CHAPA DE ACRILICO, TRANSLUCIDO, ESPESSURA 6MM</t>
  </si>
  <si>
    <t>ARRANCAMENTO DE PORTAS,JANELAS E CAIXILHOS DE AR CONDICIONADO OU OUTROS 3%-DESGASTE DE FERRAMENTAS E EPI</t>
  </si>
  <si>
    <t>,</t>
  </si>
  <si>
    <t>11.026.0030-A</t>
  </si>
  <si>
    <t>MURO DE CONTENCAO DE TALUDES EM ALVENARIA DE BLOCO DE CONCRETO ESTRUTURAL DE(19X19X39)CM,ATE 1,80M DE ALTURA,INCLUINDO BASE DE CONCRETO,ACO CA-50 E ENCHIMENTO DE BLOCOS E MEDIDO PELA AREA REAL</t>
  </si>
  <si>
    <t>DRENO RASO COM PEDRA BRITADA E MANTA GEOTEXTIL,INCLUSIVE ESCAVACAO E FORNECIMENTO DOS MATERIAIS3%-DESGASTE DE FERRAMENTAS E EPI</t>
  </si>
  <si>
    <t>20.038.0010-A</t>
  </si>
  <si>
    <t>13.001.0020-B</t>
  </si>
  <si>
    <t>EMBOCO COM ARGAMASSA DE CIMENTO E AREIA,NO TRACO 1:2 COM 1,5 CM DE ESPESSURA,INCLUSIVE CHAPISCO DE CIMENTO E AREIA,NO TRACO 1:3 3%-DESGASTE DE FERRAMENTAS E EPI</t>
  </si>
  <si>
    <t>H</t>
  </si>
  <si>
    <t>16.005.0027-A</t>
  </si>
  <si>
    <t>RUFO DE GALVALUME COM MEDIDAS APROXIMADAS DE (0,7X500)MM.FORNECIMENTO E COLOCACAO</t>
  </si>
  <si>
    <t>MAO-DE-OBRA DE SERRALHEIRO DA CONSTRUCAO CIVIL, INCLUSIVE ENCARGOS SOCIAIS</t>
  </si>
  <si>
    <t>TEXTURA ACRILICA NA COR BRANCA,ACABAMENTO FOSCO,PARA INTERIOR OU EXTERIOR,APLICADAS EM DUAS DEMAOS SOBRE CONCRETO,ALVENARIA,BLOCO DE CONCRETO,CIMENTO SEM AMIANTO OU REVESTIMENTO 3%-DESGASTE DE FERRAMENTAS E EPI</t>
  </si>
  <si>
    <t>OBRA: OBRA DE REFORMA E CONSTRUÇÃO DE MURO DE CONTENÇÃO NA ESF BOTAFOGO</t>
  </si>
  <si>
    <t>MÊS 05</t>
  </si>
  <si>
    <t>MÊS 06</t>
  </si>
  <si>
    <t>BASE: EMOP - FEV / 2025</t>
  </si>
  <si>
    <t>2.5</t>
  </si>
  <si>
    <t>05.001.0023-A</t>
  </si>
  <si>
    <t>DEMOLICAO MANUAL DE ALVENARIA DE TIJOLOS FURADOS,INCLUSIVE EMPILHAMENTO LATERAL DENTRO DO CANTEIRO DE SERVICO 3%- DESGASTE DE FERRAMENTAS E EPI</t>
  </si>
  <si>
    <t>M3</t>
  </si>
  <si>
    <t>7.5</t>
  </si>
  <si>
    <t>15.005.0240-A</t>
  </si>
  <si>
    <t>TUBULACAO EM COBRE PARA INTERLIGACAO DE AR-CONDICIONADO SPLIT CONDENSADOR/EVAPORADOR,CONFORME ABNT NBR 16655,INCLUSIVE ISOLAMENTO TERMICO,INTERLIGACAO ELETRICA,CONEXOES E FIXACAO,PARA APARELHOS DE 9000 A 30000 BTU/H.FORNECIMENTO E INSTALACAO 3%-DESGASTE DE FERRAMENTAS E EPI</t>
  </si>
  <si>
    <t>DATA: 14/04/2025</t>
  </si>
  <si>
    <t>2.6</t>
  </si>
  <si>
    <t>04.014.0095-A</t>
  </si>
  <si>
    <t>RETIRADA DE ENTULHO DE OBRA COM CACAMBA DE ACO TIPO CONTAINER COM 5M3 DE CAPACIDADE,INCLUSIVE CARREGAMENTO,TRANSPORTE E DESCARREGAMENTO.CUSTO POR UNIDADE DE CACAMBA E INCLUI A TAXA PARA DESCARGA EM LOCAIS AUTORIZADOS</t>
  </si>
  <si>
    <t>OBRA: OBRA DE REFORMA DA ESF BOTAFOGO</t>
  </si>
  <si>
    <t>MEMÓRIA DE CÁLCULO</t>
  </si>
  <si>
    <t>Largura</t>
  </si>
  <si>
    <t>Comprimento</t>
  </si>
  <si>
    <t xml:space="preserve"> M²</t>
  </si>
  <si>
    <t>Observação</t>
  </si>
  <si>
    <t>Área dimensionada de acordo com o item 4.6</t>
  </si>
  <si>
    <t>Total</t>
  </si>
  <si>
    <t>Local</t>
  </si>
  <si>
    <t>Altura</t>
  </si>
  <si>
    <t>Muro dos fundos</t>
  </si>
  <si>
    <t>Gradil  do muro dos fundos, que posteriormente será reposto.</t>
  </si>
  <si>
    <t>Item 4.7</t>
  </si>
  <si>
    <t>Área dimensionada de acordo com dos itens 4.7,4.8 e 5.1</t>
  </si>
  <si>
    <t>Item 4.8</t>
  </si>
  <si>
    <t>Item 5.1</t>
  </si>
  <si>
    <t>Área dimensionada de acordo com o item 3.2</t>
  </si>
  <si>
    <t>Objeto da demolição</t>
  </si>
  <si>
    <t>Profundidade</t>
  </si>
  <si>
    <t>Coeficiente de empolamento</t>
  </si>
  <si>
    <t>Cap. da caçamba</t>
  </si>
  <si>
    <t>Considerando o volume e o empolamento gerado nos itens 2.1,2.3,2.5</t>
  </si>
  <si>
    <t>Ambiente</t>
  </si>
  <si>
    <t>Substituir os 4 alizares verticais de 2,10m e preservar alisares horizontais</t>
  </si>
  <si>
    <t>Sala de fisioterapia</t>
  </si>
  <si>
    <t>Sala de curativos</t>
  </si>
  <si>
    <t>Sala de atividades coletivas/ACS</t>
  </si>
  <si>
    <t>Sala de imunização</t>
  </si>
  <si>
    <t>Utilizar madeira de lei</t>
  </si>
  <si>
    <t>Consultório  01</t>
  </si>
  <si>
    <t>Consultório 02</t>
  </si>
  <si>
    <t>Sanitário PCD Masc.</t>
  </si>
  <si>
    <t>Sanitário PCD Fem.</t>
  </si>
  <si>
    <t>Recepção</t>
  </si>
  <si>
    <t>Sala de inalação</t>
  </si>
  <si>
    <t>Consultório c/ sanit. anexo</t>
  </si>
  <si>
    <t>Considerar que neste ambiente há duas portas</t>
  </si>
  <si>
    <t>D.M.L</t>
  </si>
  <si>
    <t>Porta do corredor</t>
  </si>
  <si>
    <t>Sala de Atividades coletivas/ACS</t>
  </si>
  <si>
    <t>Consultório 03 c/ sanit. Anexo</t>
  </si>
  <si>
    <t>Sala de esterilização e guarda de materiais</t>
  </si>
  <si>
    <t>Expurgo</t>
  </si>
  <si>
    <t>Almoxarifado</t>
  </si>
  <si>
    <t>Banheiro de funcionários</t>
  </si>
  <si>
    <t>Copa</t>
  </si>
  <si>
    <t>Sala de administração e gerência</t>
  </si>
  <si>
    <t>Gradil sob muro lateral</t>
  </si>
  <si>
    <t>Pintura na cor existente</t>
  </si>
  <si>
    <t>Gradil sob muro fundos</t>
  </si>
  <si>
    <t>Portões de acesso lateral esquerda</t>
  </si>
  <si>
    <t>Portões de acesso lateral direita</t>
  </si>
  <si>
    <t>Repintura de todo o conjunto da esquadria o que inclui: marco, alizares e portas</t>
  </si>
  <si>
    <t>A memória desconsidera a área de instalação do item 3.3</t>
  </si>
  <si>
    <t>Considerar que neste ambiente há  duas portas</t>
  </si>
  <si>
    <t>Ambientes</t>
  </si>
  <si>
    <t>Dep. de resíduos comum</t>
  </si>
  <si>
    <t>Troca das chapas existentes nas portas dos respectivos ambientes</t>
  </si>
  <si>
    <t>Dep. de resíduos contaminados</t>
  </si>
  <si>
    <t>Dep. de resíduos recicláveis</t>
  </si>
  <si>
    <t>Área de esquadrias e aberturas (m²)</t>
  </si>
  <si>
    <t>Perímetro</t>
  </si>
  <si>
    <t>Consultório indiferenciado 01</t>
  </si>
  <si>
    <t>Parede</t>
  </si>
  <si>
    <t>Pintura da parte superior da parede e teto na                   cor branco neve</t>
  </si>
  <si>
    <t>,72porta</t>
  </si>
  <si>
    <t>Consultório indiferenciado 02</t>
  </si>
  <si>
    <t>Sala de espera</t>
  </si>
  <si>
    <t>A memória desconsidera a área de esquadrias</t>
  </si>
  <si>
    <t>Sala de Inalação</t>
  </si>
  <si>
    <t>Circulação (corredor central)</t>
  </si>
  <si>
    <t>Teto</t>
  </si>
  <si>
    <t>Consultar planta de layout para verificar larguras e comprimentos</t>
  </si>
  <si>
    <t>Sanitário anexo ao consultório</t>
  </si>
  <si>
    <t>Sanitário anexo ao consultório 03</t>
  </si>
  <si>
    <t>Corredor (perpendicular)</t>
  </si>
  <si>
    <t>Área de esquadrias</t>
  </si>
  <si>
    <t>Pintura da parte inferior da parede na                                        cor existente no local</t>
  </si>
  <si>
    <t>1,17porta</t>
  </si>
  <si>
    <t>1.30</t>
  </si>
  <si>
    <t>REF. Item 4.6</t>
  </si>
  <si>
    <t>Contemplar áreas decritas no item 4.6</t>
  </si>
  <si>
    <t>Fachada</t>
  </si>
  <si>
    <t>Seguir esquema de cores do layout</t>
  </si>
  <si>
    <t>Muro lateral direito</t>
  </si>
  <si>
    <t>Muro fundos</t>
  </si>
  <si>
    <t>Muro lateral esquerdo</t>
  </si>
  <si>
    <t xml:space="preserve"> </t>
  </si>
  <si>
    <t>Consumo por m² do item 4.8</t>
  </si>
  <si>
    <t>M² ref.:Item 4.8</t>
  </si>
  <si>
    <t>Adicionar na água de amassamento a proporção de 0,5kg/L por traço</t>
  </si>
  <si>
    <t>Conforme específicado em Layout</t>
  </si>
  <si>
    <t>Reposição em áreas de perda, utilizar a cor existente no local.</t>
  </si>
  <si>
    <t>Reposição no muro lateral</t>
  </si>
  <si>
    <t>Cor branca</t>
  </si>
  <si>
    <t xml:space="preserve">Sanitário anexo ao consultório 03 </t>
  </si>
  <si>
    <t>Sala de Administração e Gerência</t>
  </si>
  <si>
    <t>Conforme área do item 5.1</t>
  </si>
  <si>
    <t>Recepção (sala)</t>
  </si>
  <si>
    <t>Instalação do item 6.1</t>
  </si>
  <si>
    <t>Ares-condicionados reposicionados para o telhado</t>
  </si>
  <si>
    <t xml:space="preserve">Posicionar o dreno em direção a calha do telhado </t>
  </si>
  <si>
    <t>Ar-condicionado de janela, na fachada lateral</t>
  </si>
  <si>
    <t>Reposição em área de perda</t>
  </si>
  <si>
    <t>CINTAMENTO MURO FUNDOS</t>
  </si>
  <si>
    <t>Corredor central</t>
  </si>
  <si>
    <t>CINTAMENTO MURO FRENTE</t>
  </si>
  <si>
    <t>Fachadas</t>
  </si>
  <si>
    <t>Substituição da arandelas existentes por modelo aprovado pela fiscalização</t>
  </si>
  <si>
    <t>Janela da copa</t>
  </si>
  <si>
    <t>Reposição na cozinha</t>
  </si>
  <si>
    <t>Marquise do acesso</t>
  </si>
  <si>
    <t>Marquise dos fundos</t>
  </si>
  <si>
    <t>Fachada frontal</t>
  </si>
  <si>
    <t>Reinstalação no telhado, conforme em local indicado em planta</t>
  </si>
  <si>
    <t>Fachada dos fundos</t>
  </si>
  <si>
    <t>Fachada Lateral de acesso</t>
  </si>
  <si>
    <t>Reinstalação em local indicado em planta</t>
  </si>
  <si>
    <t>Considerar material para 3 aparelhos</t>
  </si>
  <si>
    <t>Pontos já existentes no local</t>
  </si>
  <si>
    <t>Descidas e ladrão no telhado</t>
  </si>
  <si>
    <t>Telhado</t>
  </si>
  <si>
    <t>Contemplar pontos de infiltração no telhado</t>
  </si>
  <si>
    <t>Perímetro do telhado</t>
  </si>
  <si>
    <t>Conforme orientações do projeto</t>
  </si>
  <si>
    <t>Faces</t>
  </si>
  <si>
    <t>Produção por hora</t>
  </si>
  <si>
    <t>m2</t>
  </si>
  <si>
    <t>Espessura</t>
  </si>
  <si>
    <t>Marcação de vagas no interior do terreno</t>
  </si>
  <si>
    <t>.10</t>
  </si>
  <si>
    <t>Faixas na cor branca</t>
  </si>
  <si>
    <r>
      <t xml:space="preserve">Símbolo internacional de acesso pintado, com fundo </t>
    </r>
    <r>
      <rPr>
        <b/>
        <sz val="10"/>
        <rFont val="Arial"/>
        <family val="2"/>
      </rPr>
      <t>azul</t>
    </r>
    <r>
      <rPr>
        <sz val="10"/>
        <rFont val="Arial"/>
        <family val="2"/>
      </rPr>
      <t xml:space="preserve"> e pictograma </t>
    </r>
    <r>
      <rPr>
        <b/>
        <sz val="10"/>
        <rFont val="Arial"/>
        <family val="2"/>
      </rPr>
      <t>branco</t>
    </r>
  </si>
  <si>
    <t>Zebrado da faixa adicional , cor amarela</t>
  </si>
  <si>
    <t>*Conforme planta de layout.</t>
  </si>
  <si>
    <t>Jardins anexos a edificação</t>
  </si>
  <si>
    <t>Considerar 15 unidades para cada jardim</t>
  </si>
  <si>
    <t>Jardim direito anexo a edificação</t>
  </si>
  <si>
    <t>Jardim esquerdo anexo a edificação</t>
  </si>
  <si>
    <t>____________________________________________________________</t>
  </si>
  <si>
    <t>LOUISE MELINA CALADO LANATE</t>
  </si>
  <si>
    <t>ARQUITETA E URBANISTA</t>
  </si>
  <si>
    <t>CAU/RJ - A186892-6</t>
  </si>
  <si>
    <t>6.6</t>
  </si>
  <si>
    <t>18.016.0106-A</t>
  </si>
  <si>
    <t>BARRA DE APOIO EM ACO INOXIDAVEL AISI 304,TUBO DE 1.1/4",INCLUSIVE FIXACAO COM PARAFUSOS INOXIDAVEIS E BUCHAS PLASTICAS,COM 80CM,CONFORME ABNT NBR 9050 PARA ACESSIBILIDADE.FORNECIMENTO E COLOCACAO</t>
  </si>
  <si>
    <t>Sanitário consultório 03 (sanitário anexo)</t>
  </si>
  <si>
    <t>Sanitário consultório (sanitário anexo)</t>
  </si>
  <si>
    <t>Sanitário PCD FEM</t>
  </si>
  <si>
    <t>Sanitário PCD MASC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</si>
</sst>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&quot;#,##0.00"/>
    <numFmt numFmtId="167" formatCode="[$-F800]dddd\,\ mmmm\ dd\,\ yyyy"/>
    <numFmt numFmtId="168" formatCode="0.00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24"/>
      <color rgb="FF000000"/>
      <name val="Calibri"/>
      <family val="2"/>
    </font>
    <font>
      <b/>
      <i/>
      <sz val="16"/>
      <color rgb="FF000000"/>
      <name val="Calibri"/>
      <family val="2"/>
    </font>
    <font>
      <sz val="14"/>
      <color rgb="FF000000"/>
      <name val="Times New Roman"/>
      <family val="1"/>
    </font>
    <font>
      <sz val="14"/>
      <name val="Arial"/>
      <family val="2"/>
    </font>
    <font>
      <b/>
      <sz val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Calibri"/>
      <family val="2"/>
      <scheme val="minor"/>
    </font>
    <font>
      <sz val="10"/>
      <color indexed="10"/>
      <name val="Arial"/>
      <family val="2"/>
    </font>
    <font>
      <u/>
      <sz val="10"/>
      <name val="Arial"/>
      <family val="2"/>
    </font>
    <font>
      <sz val="12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8"/>
      <name val="Arial"/>
    </font>
    <font>
      <sz val="10"/>
      <name val="Arial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Arial"/>
      <family val="2"/>
    </font>
    <font>
      <sz val="10"/>
      <color rgb="FF00B05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164" fontId="26" fillId="0" borderId="0">
      <alignment vertical="top"/>
      <protection locked="0"/>
    </xf>
    <xf numFmtId="9" fontId="26" fillId="0" borderId="0">
      <alignment vertical="top"/>
      <protection locked="0"/>
    </xf>
    <xf numFmtId="165" fontId="26" fillId="0" borderId="0">
      <alignment vertical="top"/>
      <protection locked="0"/>
    </xf>
    <xf numFmtId="0" fontId="12" fillId="0" borderId="0">
      <protection locked="0"/>
    </xf>
    <xf numFmtId="0" fontId="12" fillId="0" borderId="0">
      <protection locked="0"/>
    </xf>
    <xf numFmtId="0" fontId="22" fillId="0" borderId="0">
      <protection locked="0"/>
    </xf>
    <xf numFmtId="44" fontId="2" fillId="0" borderId="0" applyFont="0" applyFill="0" applyBorder="0" applyAlignment="0" applyProtection="0"/>
    <xf numFmtId="0" fontId="1" fillId="0" borderId="0"/>
    <xf numFmtId="0" fontId="34" fillId="0" borderId="0">
      <alignment vertical="center"/>
    </xf>
    <xf numFmtId="0" fontId="10" fillId="0" borderId="0">
      <protection locked="0"/>
    </xf>
    <xf numFmtId="0" fontId="10" fillId="0" borderId="0">
      <alignment vertical="center"/>
    </xf>
  </cellStyleXfs>
  <cellXfs count="639">
    <xf numFmtId="0" fontId="0" fillId="0" borderId="0" xfId="0">
      <alignment vertical="center"/>
    </xf>
    <xf numFmtId="0" fontId="3" fillId="0" borderId="0" xfId="0" applyFont="1" applyAlignment="1"/>
    <xf numFmtId="164" fontId="3" fillId="0" borderId="0" xfId="1" applyFont="1" applyAlignment="1" applyProtection="1"/>
    <xf numFmtId="0" fontId="4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164" fontId="4" fillId="0" borderId="20" xfId="1" applyFont="1" applyBorder="1" applyAlignment="1" applyProtection="1">
      <alignment horizontal="left" vertical="center"/>
    </xf>
    <xf numFmtId="164" fontId="4" fillId="0" borderId="22" xfId="1" applyFont="1" applyBorder="1" applyAlignment="1" applyProtection="1">
      <alignment horizontal="center" vertical="center"/>
    </xf>
    <xf numFmtId="9" fontId="4" fillId="0" borderId="23" xfId="2" applyFont="1" applyBorder="1" applyAlignment="1" applyProtection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4" fontId="6" fillId="0" borderId="25" xfId="1" applyFont="1" applyBorder="1" applyAlignment="1" applyProtection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2" fontId="8" fillId="2" borderId="10" xfId="1" applyNumberFormat="1" applyFont="1" applyFill="1" applyBorder="1" applyAlignment="1" applyProtection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164" fontId="8" fillId="2" borderId="10" xfId="1" applyFont="1" applyFill="1" applyBorder="1" applyAlignment="1" applyProtection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2" fontId="9" fillId="3" borderId="16" xfId="1" applyNumberFormat="1" applyFont="1" applyFill="1" applyBorder="1" applyAlignment="1" applyProtection="1">
      <alignment horizontal="center" vertical="center" wrapText="1"/>
    </xf>
    <xf numFmtId="4" fontId="8" fillId="3" borderId="16" xfId="0" applyNumberFormat="1" applyFont="1" applyFill="1" applyBorder="1" applyAlignment="1">
      <alignment horizontal="center" vertical="center" wrapText="1"/>
    </xf>
    <xf numFmtId="164" fontId="8" fillId="3" borderId="16" xfId="1" applyFont="1" applyFill="1" applyBorder="1" applyAlignment="1" applyProtection="1">
      <alignment horizontal="center" vertical="center" wrapText="1"/>
    </xf>
    <xf numFmtId="165" fontId="8" fillId="3" borderId="18" xfId="3" applyFont="1" applyFill="1" applyBorder="1" applyAlignment="1" applyProtection="1">
      <alignment horizontal="center" vertical="center" wrapText="1"/>
    </xf>
    <xf numFmtId="0" fontId="10" fillId="3" borderId="0" xfId="0" applyFont="1" applyFill="1" applyAlignment="1"/>
    <xf numFmtId="0" fontId="8" fillId="0" borderId="28" xfId="0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left" vertical="center" wrapText="1"/>
    </xf>
    <xf numFmtId="2" fontId="8" fillId="4" borderId="16" xfId="1" applyNumberFormat="1" applyFont="1" applyFill="1" applyBorder="1" applyAlignment="1" applyProtection="1">
      <alignment horizontal="center" vertical="center" wrapText="1"/>
    </xf>
    <xf numFmtId="4" fontId="8" fillId="4" borderId="16" xfId="0" applyNumberFormat="1" applyFont="1" applyFill="1" applyBorder="1" applyAlignment="1">
      <alignment horizontal="center" vertical="center" wrapText="1"/>
    </xf>
    <xf numFmtId="164" fontId="8" fillId="4" borderId="16" xfId="1" applyFont="1" applyFill="1" applyBorder="1" applyAlignment="1" applyProtection="1">
      <alignment horizontal="center" vertical="center" wrapText="1"/>
    </xf>
    <xf numFmtId="165" fontId="5" fillId="4" borderId="18" xfId="3" applyFont="1" applyFill="1" applyBorder="1" applyAlignment="1" applyProtection="1">
      <alignment horizontal="center" vertical="center" wrapText="1"/>
    </xf>
    <xf numFmtId="164" fontId="9" fillId="3" borderId="16" xfId="1" applyFont="1" applyFill="1" applyBorder="1" applyAlignment="1" applyProtection="1">
      <alignment horizontal="center" vertical="center" wrapText="1"/>
    </xf>
    <xf numFmtId="0" fontId="12" fillId="3" borderId="0" xfId="0" applyFont="1" applyFill="1" applyAlignment="1"/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2" fontId="8" fillId="2" borderId="16" xfId="1" applyNumberFormat="1" applyFont="1" applyFill="1" applyBorder="1" applyAlignment="1" applyProtection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164" fontId="8" fillId="2" borderId="16" xfId="1" applyFont="1" applyFill="1" applyBorder="1" applyAlignment="1" applyProtection="1">
      <alignment horizontal="center" vertical="center" wrapText="1"/>
    </xf>
    <xf numFmtId="165" fontId="5" fillId="2" borderId="18" xfId="3" applyFont="1" applyFill="1" applyBorder="1" applyAlignment="1" applyProtection="1">
      <alignment horizontal="center" vertical="center" wrapText="1"/>
    </xf>
    <xf numFmtId="0" fontId="10" fillId="0" borderId="0" xfId="0" applyFont="1" applyAlignment="1"/>
    <xf numFmtId="1" fontId="11" fillId="0" borderId="29" xfId="0" applyNumberFormat="1" applyFont="1" applyBorder="1" applyAlignment="1">
      <alignment horizontal="center" vertical="center"/>
    </xf>
    <xf numFmtId="2" fontId="11" fillId="3" borderId="16" xfId="1" applyNumberFormat="1" applyFont="1" applyFill="1" applyBorder="1" applyAlignment="1" applyProtection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164" fontId="11" fillId="3" borderId="16" xfId="1" applyFont="1" applyFill="1" applyBorder="1" applyAlignment="1" applyProtection="1">
      <alignment horizontal="center" vertical="center" wrapText="1"/>
    </xf>
    <xf numFmtId="1" fontId="11" fillId="0" borderId="16" xfId="0" applyNumberFormat="1" applyFont="1" applyBorder="1" applyAlignment="1">
      <alignment horizontal="center" vertical="center"/>
    </xf>
    <xf numFmtId="1" fontId="11" fillId="0" borderId="16" xfId="0" applyNumberFormat="1" applyFont="1" applyBorder="1" applyAlignment="1">
      <alignment vertical="center" wrapText="1"/>
    </xf>
    <xf numFmtId="0" fontId="11" fillId="3" borderId="16" xfId="0" applyFont="1" applyFill="1" applyBorder="1" applyAlignment="1">
      <alignment horizontal="left" vertical="center" wrapText="1"/>
    </xf>
    <xf numFmtId="4" fontId="11" fillId="3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2" fontId="9" fillId="2" borderId="16" xfId="1" applyNumberFormat="1" applyFont="1" applyFill="1" applyBorder="1" applyAlignment="1" applyProtection="1">
      <alignment horizontal="center" vertical="center" wrapText="1"/>
    </xf>
    <xf numFmtId="4" fontId="9" fillId="2" borderId="16" xfId="0" applyNumberFormat="1" applyFont="1" applyFill="1" applyBorder="1" applyAlignment="1">
      <alignment horizontal="center" vertical="center" wrapText="1"/>
    </xf>
    <xf numFmtId="164" fontId="9" fillId="2" borderId="16" xfId="1" applyFont="1" applyFill="1" applyBorder="1" applyAlignment="1" applyProtection="1">
      <alignment horizontal="center" vertical="center" wrapText="1"/>
    </xf>
    <xf numFmtId="165" fontId="9" fillId="2" borderId="18" xfId="3" applyFont="1" applyFill="1" applyBorder="1" applyAlignment="1" applyProtection="1">
      <alignment horizontal="center" vertical="center" wrapText="1"/>
    </xf>
    <xf numFmtId="2" fontId="9" fillId="4" borderId="16" xfId="1" applyNumberFormat="1" applyFont="1" applyFill="1" applyBorder="1" applyAlignment="1" applyProtection="1">
      <alignment horizontal="center" vertical="center" wrapText="1"/>
    </xf>
    <xf numFmtId="4" fontId="9" fillId="4" borderId="16" xfId="0" applyNumberFormat="1" applyFont="1" applyFill="1" applyBorder="1" applyAlignment="1">
      <alignment horizontal="center" vertical="center" wrapText="1"/>
    </xf>
    <xf numFmtId="164" fontId="9" fillId="4" borderId="16" xfId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/>
    <xf numFmtId="2" fontId="5" fillId="2" borderId="16" xfId="1" applyNumberFormat="1" applyFont="1" applyFill="1" applyBorder="1" applyAlignment="1" applyProtection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164" fontId="5" fillId="2" borderId="16" xfId="1" applyFont="1" applyFill="1" applyBorder="1" applyAlignment="1" applyProtection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2" fontId="5" fillId="4" borderId="16" xfId="1" applyNumberFormat="1" applyFont="1" applyFill="1" applyBorder="1" applyAlignment="1" applyProtection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164" fontId="5" fillId="4" borderId="16" xfId="1" applyFont="1" applyFill="1" applyBorder="1" applyAlignment="1" applyProtection="1">
      <alignment horizontal="center" vertical="center" wrapText="1"/>
    </xf>
    <xf numFmtId="4" fontId="9" fillId="3" borderId="16" xfId="0" applyNumberFormat="1" applyFont="1" applyFill="1" applyBorder="1" applyAlignment="1">
      <alignment horizontal="center" vertical="center" wrapText="1"/>
    </xf>
    <xf numFmtId="165" fontId="9" fillId="3" borderId="18" xfId="3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165" fontId="4" fillId="0" borderId="33" xfId="3" applyFont="1" applyBorder="1" applyAlignment="1" applyProtection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0" fontId="3" fillId="0" borderId="34" xfId="0" applyFont="1" applyBorder="1" applyAlignment="1"/>
    <xf numFmtId="0" fontId="3" fillId="0" borderId="35" xfId="0" applyFont="1" applyBorder="1" applyAlignment="1"/>
    <xf numFmtId="0" fontId="10" fillId="0" borderId="35" xfId="0" applyFont="1" applyBorder="1" applyAlignment="1"/>
    <xf numFmtId="0" fontId="3" fillId="3" borderId="0" xfId="0" applyFont="1" applyFill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34" xfId="0" applyFont="1" applyBorder="1" applyAlignment="1"/>
    <xf numFmtId="2" fontId="22" fillId="0" borderId="43" xfId="6" applyNumberFormat="1" applyBorder="1" applyProtection="1"/>
    <xf numFmtId="2" fontId="22" fillId="0" borderId="44" xfId="6" applyNumberFormat="1" applyBorder="1" applyProtection="1"/>
    <xf numFmtId="2" fontId="22" fillId="0" borderId="44" xfId="6" applyNumberFormat="1" applyBorder="1" applyAlignment="1" applyProtection="1">
      <alignment horizontal="left" vertical="center"/>
    </xf>
    <xf numFmtId="2" fontId="22" fillId="0" borderId="44" xfId="6" applyNumberFormat="1" applyBorder="1" applyAlignment="1" applyProtection="1">
      <alignment horizontal="center"/>
    </xf>
    <xf numFmtId="2" fontId="23" fillId="0" borderId="8" xfId="6" applyNumberFormat="1" applyFont="1" applyBorder="1" applyAlignment="1" applyProtection="1">
      <alignment horizontal="center" vertical="center"/>
    </xf>
    <xf numFmtId="2" fontId="23" fillId="0" borderId="47" xfId="6" applyNumberFormat="1" applyFont="1" applyBorder="1" applyAlignment="1" applyProtection="1">
      <alignment horizontal="centerContinuous"/>
    </xf>
    <xf numFmtId="2" fontId="23" fillId="0" borderId="47" xfId="6" applyNumberFormat="1" applyFont="1" applyBorder="1" applyAlignment="1" applyProtection="1">
      <alignment horizontal="center" vertical="center"/>
    </xf>
    <xf numFmtId="2" fontId="23" fillId="0" borderId="47" xfId="6" applyNumberFormat="1" applyFont="1" applyBorder="1" applyAlignment="1" applyProtection="1">
      <alignment horizontal="center"/>
    </xf>
    <xf numFmtId="2" fontId="23" fillId="0" borderId="39" xfId="6" applyNumberFormat="1" applyFont="1" applyBorder="1" applyAlignment="1" applyProtection="1">
      <alignment horizontal="centerContinuous"/>
    </xf>
    <xf numFmtId="2" fontId="23" fillId="0" borderId="40" xfId="6" applyNumberFormat="1" applyFont="1" applyBorder="1" applyAlignment="1" applyProtection="1">
      <alignment horizontal="centerContinuous"/>
    </xf>
    <xf numFmtId="2" fontId="23" fillId="0" borderId="40" xfId="6" applyNumberFormat="1" applyFont="1" applyBorder="1" applyAlignment="1" applyProtection="1">
      <alignment horizontal="center" vertical="center"/>
    </xf>
    <xf numFmtId="2" fontId="23" fillId="0" borderId="40" xfId="6" applyNumberFormat="1" applyFont="1" applyBorder="1" applyAlignment="1" applyProtection="1">
      <alignment horizontal="center"/>
    </xf>
    <xf numFmtId="2" fontId="23" fillId="0" borderId="29" xfId="6" applyNumberFormat="1" applyFont="1" applyBorder="1" applyAlignment="1" applyProtection="1">
      <alignment horizontal="centerContinuous"/>
    </xf>
    <xf numFmtId="2" fontId="23" fillId="0" borderId="29" xfId="6" applyNumberFormat="1" applyFont="1" applyBorder="1" applyAlignment="1" applyProtection="1">
      <alignment horizontal="center"/>
    </xf>
    <xf numFmtId="2" fontId="23" fillId="0" borderId="50" xfId="6" applyNumberFormat="1" applyFont="1" applyBorder="1" applyAlignment="1" applyProtection="1">
      <alignment horizontal="center"/>
    </xf>
    <xf numFmtId="1" fontId="22" fillId="0" borderId="28" xfId="6" applyNumberFormat="1" applyBorder="1" applyAlignment="1" applyProtection="1">
      <alignment horizontal="center"/>
    </xf>
    <xf numFmtId="165" fontId="24" fillId="5" borderId="16" xfId="3" applyFont="1" applyFill="1" applyBorder="1" applyAlignment="1" applyProtection="1">
      <alignment horizontal="left" vertical="center"/>
    </xf>
    <xf numFmtId="165" fontId="22" fillId="0" borderId="16" xfId="3" applyFont="1" applyBorder="1" applyAlignment="1" applyProtection="1">
      <alignment vertical="center"/>
    </xf>
    <xf numFmtId="165" fontId="22" fillId="0" borderId="17" xfId="3" applyFont="1" applyBorder="1" applyAlignment="1" applyProtection="1">
      <alignment vertical="center"/>
    </xf>
    <xf numFmtId="165" fontId="10" fillId="0" borderId="48" xfId="3" applyFont="1" applyBorder="1" applyAlignment="1" applyProtection="1">
      <alignment vertical="center"/>
    </xf>
    <xf numFmtId="2" fontId="22" fillId="0" borderId="33" xfId="6" applyNumberFormat="1" applyBorder="1" applyProtection="1"/>
    <xf numFmtId="2" fontId="22" fillId="0" borderId="31" xfId="6" applyNumberFormat="1" applyBorder="1" applyProtection="1"/>
    <xf numFmtId="2" fontId="22" fillId="0" borderId="32" xfId="6" applyNumberFormat="1" applyBorder="1" applyProtection="1"/>
    <xf numFmtId="166" fontId="4" fillId="5" borderId="30" xfId="6" applyNumberFormat="1" applyFont="1" applyFill="1" applyBorder="1" applyAlignment="1" applyProtection="1">
      <alignment horizontal="center" vertical="center"/>
    </xf>
    <xf numFmtId="0" fontId="10" fillId="0" borderId="4" xfId="0" applyFont="1" applyBorder="1" applyAlignment="1"/>
    <xf numFmtId="0" fontId="10" fillId="0" borderId="0" xfId="0" applyFont="1" applyAlignment="1">
      <alignment horizontal="center" vertical="center"/>
    </xf>
    <xf numFmtId="10" fontId="14" fillId="6" borderId="0" xfId="0" applyNumberFormat="1" applyFont="1" applyFill="1">
      <alignment vertical="center"/>
    </xf>
    <xf numFmtId="0" fontId="0" fillId="0" borderId="0" xfId="0" applyAlignment="1"/>
    <xf numFmtId="49" fontId="8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left" vertical="center" wrapText="1"/>
    </xf>
    <xf numFmtId="2" fontId="8" fillId="3" borderId="16" xfId="1" applyNumberFormat="1" applyFont="1" applyFill="1" applyBorder="1" applyAlignment="1" applyProtection="1">
      <alignment horizontal="center" vertical="center" wrapText="1"/>
    </xf>
    <xf numFmtId="0" fontId="0" fillId="7" borderId="0" xfId="0" applyFill="1">
      <alignment vertical="center"/>
    </xf>
    <xf numFmtId="0" fontId="5" fillId="7" borderId="34" xfId="0" applyFont="1" applyFill="1" applyBorder="1" applyAlignment="1">
      <alignment horizontal="center" vertical="center" wrapText="1"/>
    </xf>
    <xf numFmtId="165" fontId="5" fillId="7" borderId="35" xfId="3" applyFont="1" applyFill="1" applyBorder="1" applyAlignment="1" applyProtection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64" fontId="8" fillId="7" borderId="16" xfId="1" applyFont="1" applyFill="1" applyBorder="1" applyAlignment="1" applyProtection="1">
      <alignment horizontal="center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23" fillId="9" borderId="28" xfId="0" applyFont="1" applyFill="1" applyBorder="1" applyAlignment="1">
      <alignment horizontal="center" vertical="center"/>
    </xf>
    <xf numFmtId="0" fontId="23" fillId="9" borderId="16" xfId="0" applyFont="1" applyFill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0" fontId="29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0" fillId="0" borderId="34" xfId="0" applyBorder="1" applyAlignment="1"/>
    <xf numFmtId="10" fontId="0" fillId="0" borderId="0" xfId="0" applyNumberFormat="1" applyAlignment="1"/>
    <xf numFmtId="0" fontId="0" fillId="0" borderId="35" xfId="0" applyBorder="1" applyAlignment="1"/>
    <xf numFmtId="0" fontId="31" fillId="0" borderId="0" xfId="0" applyFont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43" fontId="0" fillId="0" borderId="0" xfId="0" applyNumberFormat="1">
      <alignment vertical="center"/>
    </xf>
    <xf numFmtId="0" fontId="10" fillId="10" borderId="0" xfId="0" applyFont="1" applyFill="1" applyAlignment="1"/>
    <xf numFmtId="164" fontId="8" fillId="0" borderId="16" xfId="1" applyFont="1" applyBorder="1" applyAlignment="1" applyProtection="1">
      <alignment horizontal="center" vertical="center" wrapText="1"/>
    </xf>
    <xf numFmtId="165" fontId="8" fillId="0" borderId="18" xfId="3" applyFont="1" applyBorder="1" applyAlignment="1" applyProtection="1">
      <alignment horizontal="center" vertical="center" wrapText="1"/>
    </xf>
    <xf numFmtId="10" fontId="14" fillId="9" borderId="18" xfId="2" applyNumberFormat="1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1" fontId="8" fillId="3" borderId="16" xfId="0" applyNumberFormat="1" applyFont="1" applyFill="1" applyBorder="1" applyAlignment="1">
      <alignment horizontal="left" vertical="center" wrapText="1"/>
    </xf>
    <xf numFmtId="10" fontId="26" fillId="0" borderId="0" xfId="2" applyNumberFormat="1">
      <alignment vertical="top"/>
      <protection locked="0"/>
    </xf>
    <xf numFmtId="0" fontId="10" fillId="0" borderId="0" xfId="0" applyFont="1">
      <alignment vertical="center"/>
    </xf>
    <xf numFmtId="164" fontId="5" fillId="0" borderId="25" xfId="1" applyFont="1" applyBorder="1" applyAlignment="1" applyProtection="1">
      <alignment horizontal="center" vertical="center" wrapText="1"/>
    </xf>
    <xf numFmtId="0" fontId="11" fillId="3" borderId="16" xfId="0" applyFont="1" applyFill="1" applyBorder="1" applyAlignment="1">
      <alignment vertical="center" wrapText="1"/>
    </xf>
    <xf numFmtId="10" fontId="10" fillId="0" borderId="16" xfId="0" applyNumberFormat="1" applyFont="1" applyBorder="1" applyAlignment="1">
      <alignment horizontal="center" vertical="center"/>
    </xf>
    <xf numFmtId="10" fontId="10" fillId="0" borderId="16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0" fontId="5" fillId="7" borderId="28" xfId="0" applyFont="1" applyFill="1" applyBorder="1" applyAlignment="1">
      <alignment horizontal="center" vertical="center" wrapText="1"/>
    </xf>
    <xf numFmtId="2" fontId="11" fillId="0" borderId="16" xfId="1" applyNumberFormat="1" applyFont="1" applyBorder="1" applyAlignment="1" applyProtection="1">
      <alignment horizontal="center" vertical="center" wrapText="1"/>
    </xf>
    <xf numFmtId="0" fontId="10" fillId="11" borderId="0" xfId="0" applyFont="1" applyFill="1">
      <alignment vertical="center"/>
    </xf>
    <xf numFmtId="0" fontId="10" fillId="11" borderId="0" xfId="0" applyFont="1" applyFill="1" applyAlignment="1"/>
    <xf numFmtId="0" fontId="8" fillId="11" borderId="0" xfId="0" applyFont="1" applyFill="1" applyAlignment="1">
      <alignment horizontal="left" vertical="center" wrapText="1"/>
    </xf>
    <xf numFmtId="0" fontId="11" fillId="11" borderId="0" xfId="0" applyFont="1" applyFill="1" applyAlignment="1">
      <alignment vertical="center" wrapText="1"/>
    </xf>
    <xf numFmtId="1" fontId="11" fillId="7" borderId="16" xfId="0" applyNumberFormat="1" applyFont="1" applyFill="1" applyBorder="1" applyAlignment="1">
      <alignment horizontal="center" vertical="center"/>
    </xf>
    <xf numFmtId="1" fontId="11" fillId="7" borderId="16" xfId="0" applyNumberFormat="1" applyFont="1" applyFill="1" applyBorder="1" applyAlignment="1">
      <alignment vertical="center" wrapText="1"/>
    </xf>
    <xf numFmtId="2" fontId="8" fillId="7" borderId="16" xfId="1" applyNumberFormat="1" applyFont="1" applyFill="1" applyBorder="1" applyAlignment="1" applyProtection="1">
      <alignment horizontal="center" vertical="center" wrapText="1"/>
    </xf>
    <xf numFmtId="4" fontId="9" fillId="7" borderId="16" xfId="0" applyNumberFormat="1" applyFont="1" applyFill="1" applyBorder="1" applyAlignment="1">
      <alignment horizontal="center" vertical="center" wrapText="1"/>
    </xf>
    <xf numFmtId="165" fontId="9" fillId="7" borderId="18" xfId="3" applyFont="1" applyFill="1" applyBorder="1" applyAlignment="1" applyProtection="1">
      <alignment horizontal="center" vertical="center" wrapText="1"/>
    </xf>
    <xf numFmtId="1" fontId="10" fillId="7" borderId="54" xfId="10" applyNumberFormat="1" applyFill="1" applyBorder="1" applyAlignment="1" applyProtection="1">
      <alignment horizontal="center" vertical="center"/>
    </xf>
    <xf numFmtId="0" fontId="10" fillId="0" borderId="16" xfId="10" applyBorder="1" applyAlignment="1" applyProtection="1">
      <alignment vertical="center" wrapText="1"/>
    </xf>
    <xf numFmtId="0" fontId="10" fillId="0" borderId="18" xfId="10" applyBorder="1" applyAlignment="1" applyProtection="1">
      <alignment vertical="center" wrapText="1"/>
    </xf>
    <xf numFmtId="4" fontId="23" fillId="0" borderId="33" xfId="6" applyNumberFormat="1" applyFont="1" applyBorder="1" applyAlignment="1" applyProtection="1">
      <alignment horizontal="center" vertical="center"/>
    </xf>
    <xf numFmtId="165" fontId="14" fillId="0" borderId="33" xfId="3" applyFont="1" applyBorder="1" applyAlignment="1" applyProtection="1">
      <alignment vertical="center"/>
    </xf>
    <xf numFmtId="0" fontId="11" fillId="11" borderId="0" xfId="0" applyFont="1" applyFill="1">
      <alignment vertical="center"/>
    </xf>
    <xf numFmtId="0" fontId="11" fillId="11" borderId="0" xfId="0" applyFont="1" applyFill="1" applyAlignment="1">
      <alignment horizontal="left" vertical="center" wrapText="1"/>
    </xf>
    <xf numFmtId="1" fontId="11" fillId="11" borderId="0" xfId="0" applyNumberFormat="1" applyFont="1" applyFill="1" applyAlignment="1">
      <alignment vertical="center" wrapText="1"/>
    </xf>
    <xf numFmtId="165" fontId="22" fillId="7" borderId="16" xfId="3" applyFont="1" applyFill="1" applyBorder="1" applyAlignment="1" applyProtection="1">
      <alignment vertical="center"/>
    </xf>
    <xf numFmtId="0" fontId="10" fillId="0" borderId="0" xfId="11" applyAlignment="1"/>
    <xf numFmtId="0" fontId="14" fillId="3" borderId="34" xfId="10" applyFont="1" applyFill="1" applyBorder="1" applyAlignment="1" applyProtection="1">
      <alignment horizontal="center" vertical="center"/>
    </xf>
    <xf numFmtId="0" fontId="14" fillId="3" borderId="34" xfId="10" applyFont="1" applyFill="1" applyBorder="1" applyAlignment="1" applyProtection="1">
      <alignment horizontal="left" vertical="center"/>
    </xf>
    <xf numFmtId="0" fontId="14" fillId="0" borderId="28" xfId="10" applyFont="1" applyBorder="1" applyAlignment="1" applyProtection="1">
      <alignment horizontal="center" vertical="center"/>
    </xf>
    <xf numFmtId="0" fontId="14" fillId="0" borderId="16" xfId="10" applyFont="1" applyBorder="1" applyAlignment="1" applyProtection="1">
      <alignment horizontal="center" vertical="center"/>
    </xf>
    <xf numFmtId="0" fontId="14" fillId="4" borderId="13" xfId="10" applyFont="1" applyFill="1" applyBorder="1" applyAlignment="1" applyProtection="1">
      <alignment horizontal="center" vertical="center"/>
    </xf>
    <xf numFmtId="0" fontId="14" fillId="4" borderId="16" xfId="10" applyFont="1" applyFill="1" applyBorder="1" applyAlignment="1" applyProtection="1">
      <alignment vertical="center"/>
    </xf>
    <xf numFmtId="0" fontId="10" fillId="3" borderId="28" xfId="10" applyFill="1" applyBorder="1" applyAlignment="1" applyProtection="1">
      <alignment horizontal="center" vertical="center"/>
    </xf>
    <xf numFmtId="49" fontId="10" fillId="3" borderId="16" xfId="10" applyNumberFormat="1" applyFill="1" applyBorder="1" applyAlignment="1" applyProtection="1">
      <alignment horizontal="center" vertical="center"/>
    </xf>
    <xf numFmtId="0" fontId="10" fillId="3" borderId="16" xfId="11" applyFill="1" applyBorder="1" applyAlignment="1">
      <alignment horizontal="left" vertical="center" wrapText="1"/>
    </xf>
    <xf numFmtId="2" fontId="10" fillId="3" borderId="16" xfId="11" applyNumberFormat="1" applyFill="1" applyBorder="1" applyAlignment="1">
      <alignment horizontal="center" vertical="center" wrapText="1"/>
    </xf>
    <xf numFmtId="43" fontId="10" fillId="3" borderId="0" xfId="11" applyNumberFormat="1" applyFill="1" applyAlignment="1">
      <alignment horizontal="center" vertical="center" wrapText="1"/>
    </xf>
    <xf numFmtId="43" fontId="10" fillId="3" borderId="35" xfId="11" applyNumberFormat="1" applyFill="1" applyBorder="1" applyAlignment="1">
      <alignment horizontal="center" vertical="center" wrapText="1"/>
    </xf>
    <xf numFmtId="43" fontId="14" fillId="3" borderId="16" xfId="11" applyNumberFormat="1" applyFont="1" applyFill="1" applyBorder="1" applyAlignment="1">
      <alignment horizontal="center" vertical="center" wrapText="1"/>
    </xf>
    <xf numFmtId="2" fontId="14" fillId="3" borderId="16" xfId="11" applyNumberFormat="1" applyFont="1" applyFill="1" applyBorder="1" applyAlignment="1">
      <alignment horizontal="center" vertical="center" wrapText="1"/>
    </xf>
    <xf numFmtId="43" fontId="10" fillId="3" borderId="35" xfId="11" applyNumberFormat="1" applyFill="1" applyBorder="1" applyAlignment="1">
      <alignment horizontal="left" vertical="center" wrapText="1"/>
    </xf>
    <xf numFmtId="0" fontId="10" fillId="7" borderId="28" xfId="10" applyFill="1" applyBorder="1" applyAlignment="1" applyProtection="1">
      <alignment horizontal="center" vertical="center"/>
    </xf>
    <xf numFmtId="1" fontId="10" fillId="7" borderId="16" xfId="10" applyNumberFormat="1" applyFill="1" applyBorder="1" applyAlignment="1" applyProtection="1">
      <alignment horizontal="center" vertical="center"/>
    </xf>
    <xf numFmtId="1" fontId="10" fillId="3" borderId="16" xfId="11" applyNumberFormat="1" applyFill="1" applyBorder="1" applyAlignment="1">
      <alignment horizontal="left" vertical="center" wrapText="1"/>
    </xf>
    <xf numFmtId="0" fontId="14" fillId="7" borderId="34" xfId="10" applyFont="1" applyFill="1" applyBorder="1" applyAlignment="1" applyProtection="1">
      <alignment horizontal="center" vertical="center"/>
    </xf>
    <xf numFmtId="0" fontId="1" fillId="0" borderId="0" xfId="8"/>
    <xf numFmtId="0" fontId="10" fillId="0" borderId="16" xfId="11" applyBorder="1" applyAlignment="1">
      <alignment horizontal="center" vertical="center"/>
    </xf>
    <xf numFmtId="43" fontId="10" fillId="0" borderId="16" xfId="11" applyNumberFormat="1" applyBorder="1">
      <alignment vertical="center"/>
    </xf>
    <xf numFmtId="0" fontId="10" fillId="0" borderId="0" xfId="11">
      <alignment vertical="center"/>
    </xf>
    <xf numFmtId="0" fontId="14" fillId="0" borderId="17" xfId="11" applyFont="1" applyBorder="1">
      <alignment vertical="center"/>
    </xf>
    <xf numFmtId="43" fontId="14" fillId="0" borderId="16" xfId="11" applyNumberFormat="1" applyFont="1" applyBorder="1">
      <alignment vertical="center"/>
    </xf>
    <xf numFmtId="43" fontId="10" fillId="7" borderId="0" xfId="11" applyNumberFormat="1" applyFill="1">
      <alignment vertical="center"/>
    </xf>
    <xf numFmtId="49" fontId="10" fillId="7" borderId="28" xfId="10" applyNumberFormat="1" applyFill="1" applyBorder="1" applyAlignment="1" applyProtection="1">
      <alignment horizontal="center" vertical="center"/>
    </xf>
    <xf numFmtId="0" fontId="10" fillId="7" borderId="34" xfId="10" applyFill="1" applyBorder="1" applyAlignment="1" applyProtection="1">
      <alignment horizontal="center" vertical="center"/>
    </xf>
    <xf numFmtId="0" fontId="10" fillId="3" borderId="35" xfId="11" applyFill="1" applyBorder="1" applyAlignment="1">
      <alignment horizontal="left" vertical="center" wrapText="1"/>
    </xf>
    <xf numFmtId="0" fontId="10" fillId="0" borderId="16" xfId="11" applyBorder="1">
      <alignment vertical="center"/>
    </xf>
    <xf numFmtId="2" fontId="10" fillId="0" borderId="16" xfId="11" applyNumberFormat="1" applyBorder="1">
      <alignment vertical="center"/>
    </xf>
    <xf numFmtId="0" fontId="14" fillId="0" borderId="16" xfId="11" applyFont="1" applyBorder="1" applyAlignment="1">
      <alignment horizontal="left" vertical="center"/>
    </xf>
    <xf numFmtId="2" fontId="14" fillId="0" borderId="16" xfId="11" applyNumberFormat="1" applyFont="1" applyBorder="1">
      <alignment vertical="center"/>
    </xf>
    <xf numFmtId="0" fontId="10" fillId="7" borderId="16" xfId="11" applyFill="1" applyBorder="1" applyAlignment="1">
      <alignment horizontal="center" vertical="center"/>
    </xf>
    <xf numFmtId="0" fontId="1" fillId="0" borderId="16" xfId="8" applyBorder="1"/>
    <xf numFmtId="43" fontId="10" fillId="0" borderId="15" xfId="11" applyNumberFormat="1" applyBorder="1">
      <alignment vertical="center"/>
    </xf>
    <xf numFmtId="0" fontId="10" fillId="3" borderId="34" xfId="10" applyFill="1" applyBorder="1" applyAlignment="1" applyProtection="1">
      <alignment horizontal="center" vertical="center"/>
    </xf>
    <xf numFmtId="1" fontId="10" fillId="3" borderId="16" xfId="11" applyNumberFormat="1" applyFill="1" applyBorder="1" applyAlignment="1">
      <alignment vertical="center" wrapText="1"/>
    </xf>
    <xf numFmtId="0" fontId="1" fillId="0" borderId="16" xfId="8" applyBorder="1" applyAlignment="1">
      <alignment horizontal="center"/>
    </xf>
    <xf numFmtId="2" fontId="1" fillId="7" borderId="16" xfId="8" applyNumberFormat="1" applyFill="1" applyBorder="1"/>
    <xf numFmtId="0" fontId="10" fillId="7" borderId="16" xfId="11" applyFill="1" applyBorder="1">
      <alignment vertical="center"/>
    </xf>
    <xf numFmtId="0" fontId="14" fillId="0" borderId="16" xfId="11" applyFont="1" applyBorder="1">
      <alignment vertical="center"/>
    </xf>
    <xf numFmtId="0" fontId="10" fillId="12" borderId="0" xfId="11" applyFill="1" applyAlignment="1">
      <alignment horizontal="center" vertical="center"/>
    </xf>
    <xf numFmtId="0" fontId="1" fillId="0" borderId="16" xfId="8" applyBorder="1" applyAlignment="1">
      <alignment horizontal="center" vertical="center" wrapText="1"/>
    </xf>
    <xf numFmtId="0" fontId="10" fillId="12" borderId="0" xfId="11" applyFill="1" applyAlignment="1"/>
    <xf numFmtId="43" fontId="10" fillId="7" borderId="16" xfId="11" applyNumberFormat="1" applyFill="1" applyBorder="1">
      <alignment vertical="center"/>
    </xf>
    <xf numFmtId="0" fontId="10" fillId="12" borderId="0" xfId="11" applyFill="1">
      <alignment vertical="center"/>
    </xf>
    <xf numFmtId="0" fontId="10" fillId="7" borderId="0" xfId="11" applyFill="1" applyAlignment="1"/>
    <xf numFmtId="0" fontId="10" fillId="7" borderId="35" xfId="11" applyFill="1" applyBorder="1" applyAlignment="1">
      <alignment horizontal="left" vertical="center" wrapText="1"/>
    </xf>
    <xf numFmtId="0" fontId="10" fillId="0" borderId="28" xfId="10" applyBorder="1" applyAlignment="1" applyProtection="1">
      <alignment horizontal="center" vertical="center"/>
    </xf>
    <xf numFmtId="4" fontId="10" fillId="0" borderId="16" xfId="10" applyNumberFormat="1" applyBorder="1" applyAlignment="1" applyProtection="1">
      <alignment horizontal="left" vertical="center" wrapText="1"/>
    </xf>
    <xf numFmtId="0" fontId="10" fillId="0" borderId="34" xfId="10" applyBorder="1" applyAlignment="1" applyProtection="1">
      <alignment horizontal="center" vertical="center"/>
    </xf>
    <xf numFmtId="0" fontId="10" fillId="3" borderId="37" xfId="10" applyFill="1" applyBorder="1" applyAlignment="1" applyProtection="1">
      <alignment horizontal="left" vertical="center" wrapText="1"/>
    </xf>
    <xf numFmtId="0" fontId="10" fillId="3" borderId="14" xfId="10" applyFill="1" applyBorder="1" applyAlignment="1" applyProtection="1">
      <alignment horizontal="left" vertical="center" wrapText="1"/>
    </xf>
    <xf numFmtId="0" fontId="10" fillId="3" borderId="35" xfId="10" applyFill="1" applyBorder="1" applyAlignment="1" applyProtection="1">
      <alignment horizontal="left" vertical="center" wrapText="1"/>
    </xf>
    <xf numFmtId="2" fontId="10" fillId="3" borderId="16" xfId="10" applyNumberFormat="1" applyFill="1" applyBorder="1" applyAlignment="1" applyProtection="1">
      <alignment vertical="center"/>
    </xf>
    <xf numFmtId="0" fontId="10" fillId="3" borderId="0" xfId="11" applyFill="1" applyAlignment="1">
      <alignment horizontal="center" vertical="center" wrapText="1"/>
    </xf>
    <xf numFmtId="0" fontId="10" fillId="3" borderId="35" xfId="11" applyFill="1" applyBorder="1" applyAlignment="1">
      <alignment horizontal="center" vertical="center" wrapText="1"/>
    </xf>
    <xf numFmtId="2" fontId="10" fillId="3" borderId="17" xfId="10" applyNumberFormat="1" applyFill="1" applyBorder="1" applyAlignment="1" applyProtection="1">
      <alignment vertical="center"/>
    </xf>
    <xf numFmtId="2" fontId="10" fillId="3" borderId="15" xfId="10" applyNumberFormat="1" applyFill="1" applyBorder="1" applyAlignment="1" applyProtection="1">
      <alignment vertical="center"/>
    </xf>
    <xf numFmtId="43" fontId="10" fillId="3" borderId="40" xfId="11" applyNumberFormat="1" applyFill="1" applyBorder="1" applyAlignment="1">
      <alignment horizontal="center" vertical="center" wrapText="1"/>
    </xf>
    <xf numFmtId="43" fontId="10" fillId="3" borderId="16" xfId="11" applyNumberFormat="1" applyFill="1" applyBorder="1" applyAlignment="1">
      <alignment horizontal="center" vertical="center" wrapText="1"/>
    </xf>
    <xf numFmtId="43" fontId="14" fillId="3" borderId="36" xfId="11" applyNumberFormat="1" applyFont="1" applyFill="1" applyBorder="1" applyAlignment="1">
      <alignment horizontal="center" vertical="center" wrapText="1"/>
    </xf>
    <xf numFmtId="0" fontId="10" fillId="3" borderId="39" xfId="11" applyFill="1" applyBorder="1" applyAlignment="1">
      <alignment horizontal="center" vertical="center" wrapText="1"/>
    </xf>
    <xf numFmtId="43" fontId="10" fillId="3" borderId="17" xfId="11" applyNumberFormat="1" applyFill="1" applyBorder="1" applyAlignment="1">
      <alignment horizontal="left" vertical="center" wrapText="1"/>
    </xf>
    <xf numFmtId="43" fontId="10" fillId="3" borderId="15" xfId="11" applyNumberFormat="1" applyFill="1" applyBorder="1" applyAlignment="1">
      <alignment horizontal="left" vertical="center" wrapText="1"/>
    </xf>
    <xf numFmtId="43" fontId="10" fillId="13" borderId="16" xfId="11" applyNumberFormat="1" applyFill="1" applyBorder="1" applyAlignment="1">
      <alignment horizontal="center" vertical="center" wrapText="1"/>
    </xf>
    <xf numFmtId="43" fontId="10" fillId="7" borderId="51" xfId="11" applyNumberFormat="1" applyFill="1" applyBorder="1" applyAlignment="1">
      <alignment horizontal="center" vertical="center" wrapText="1"/>
    </xf>
    <xf numFmtId="43" fontId="10" fillId="7" borderId="35" xfId="11" applyNumberFormat="1" applyFill="1" applyBorder="1" applyAlignment="1">
      <alignment horizontal="center" vertical="center" wrapText="1"/>
    </xf>
    <xf numFmtId="43" fontId="10" fillId="13" borderId="51" xfId="11" applyNumberFormat="1" applyFill="1" applyBorder="1" applyAlignment="1">
      <alignment horizontal="center" vertical="center" wrapText="1"/>
    </xf>
    <xf numFmtId="0" fontId="10" fillId="0" borderId="16" xfId="11" applyBorder="1" applyAlignment="1"/>
    <xf numFmtId="43" fontId="14" fillId="3" borderId="51" xfId="11" applyNumberFormat="1" applyFont="1" applyFill="1" applyBorder="1" applyAlignment="1">
      <alignment horizontal="center" vertical="center" wrapText="1"/>
    </xf>
    <xf numFmtId="43" fontId="10" fillId="3" borderId="16" xfId="11" applyNumberFormat="1" applyFill="1" applyBorder="1" applyAlignment="1">
      <alignment vertical="center" wrapText="1"/>
    </xf>
    <xf numFmtId="2" fontId="10" fillId="3" borderId="16" xfId="10" applyNumberFormat="1" applyFill="1" applyBorder="1" applyAlignment="1" applyProtection="1">
      <alignment vertical="center" wrapText="1"/>
    </xf>
    <xf numFmtId="43" fontId="14" fillId="3" borderId="37" xfId="11" applyNumberFormat="1" applyFont="1" applyFill="1" applyBorder="1" applyAlignment="1">
      <alignment horizontal="center" vertical="center" wrapText="1"/>
    </xf>
    <xf numFmtId="0" fontId="10" fillId="0" borderId="36" xfId="10" applyBorder="1" applyAlignment="1" applyProtection="1">
      <alignment horizontal="left" vertical="center" wrapText="1"/>
    </xf>
    <xf numFmtId="0" fontId="10" fillId="0" borderId="35" xfId="10" applyBorder="1" applyAlignment="1" applyProtection="1">
      <alignment horizontal="left" vertical="center" wrapText="1"/>
    </xf>
    <xf numFmtId="0" fontId="36" fillId="0" borderId="16" xfId="8" applyFont="1" applyBorder="1"/>
    <xf numFmtId="0" fontId="37" fillId="0" borderId="16" xfId="11" applyFont="1" applyBorder="1" applyAlignment="1">
      <alignment horizontal="center" wrapText="1"/>
    </xf>
    <xf numFmtId="43" fontId="37" fillId="3" borderId="15" xfId="11" applyNumberFormat="1" applyFont="1" applyFill="1" applyBorder="1" applyAlignment="1">
      <alignment vertical="center" wrapText="1"/>
    </xf>
    <xf numFmtId="0" fontId="37" fillId="0" borderId="16" xfId="11" applyFont="1" applyBorder="1">
      <alignment vertical="center"/>
    </xf>
    <xf numFmtId="2" fontId="37" fillId="3" borderId="16" xfId="11" applyNumberFormat="1" applyFont="1" applyFill="1" applyBorder="1" applyAlignment="1">
      <alignment horizontal="center" vertical="center" wrapText="1"/>
    </xf>
    <xf numFmtId="0" fontId="10" fillId="0" borderId="16" xfId="11" applyBorder="1" applyAlignment="1">
      <alignment horizontal="right" vertical="center"/>
    </xf>
    <xf numFmtId="0" fontId="10" fillId="0" borderId="16" xfId="11" applyBorder="1" applyAlignment="1">
      <alignment horizontal="left" vertical="center"/>
    </xf>
    <xf numFmtId="43" fontId="10" fillId="3" borderId="51" xfId="11" applyNumberFormat="1" applyFill="1" applyBorder="1" applyAlignment="1">
      <alignment horizontal="center" vertical="center" wrapText="1"/>
    </xf>
    <xf numFmtId="43" fontId="37" fillId="3" borderId="51" xfId="11" applyNumberFormat="1" applyFont="1" applyFill="1" applyBorder="1" applyAlignment="1">
      <alignment horizontal="center" vertical="center" wrapText="1"/>
    </xf>
    <xf numFmtId="43" fontId="37" fillId="3" borderId="16" xfId="11" applyNumberFormat="1" applyFont="1" applyFill="1" applyBorder="1" applyAlignment="1">
      <alignment vertical="center" wrapText="1"/>
    </xf>
    <xf numFmtId="2" fontId="10" fillId="7" borderId="16" xfId="10" applyNumberFormat="1" applyFill="1" applyBorder="1" applyAlignment="1" applyProtection="1">
      <alignment vertical="center" wrapText="1"/>
    </xf>
    <xf numFmtId="43" fontId="10" fillId="7" borderId="16" xfId="11" applyNumberFormat="1" applyFill="1" applyBorder="1" applyAlignment="1">
      <alignment vertical="center" wrapText="1"/>
    </xf>
    <xf numFmtId="43" fontId="10" fillId="3" borderId="51" xfId="11" applyNumberFormat="1" applyFill="1" applyBorder="1" applyAlignment="1">
      <alignment vertical="center" wrapText="1"/>
    </xf>
    <xf numFmtId="0" fontId="10" fillId="7" borderId="16" xfId="11" applyFill="1" applyBorder="1" applyAlignment="1">
      <alignment horizontal="left" vertical="center"/>
    </xf>
    <xf numFmtId="43" fontId="37" fillId="3" borderId="51" xfId="11" applyNumberFormat="1" applyFont="1" applyFill="1" applyBorder="1" applyAlignment="1">
      <alignment vertical="center" wrapText="1"/>
    </xf>
    <xf numFmtId="43" fontId="14" fillId="3" borderId="16" xfId="11" applyNumberFormat="1" applyFont="1" applyFill="1" applyBorder="1" applyAlignment="1">
      <alignment vertical="center" wrapText="1"/>
    </xf>
    <xf numFmtId="0" fontId="14" fillId="0" borderId="34" xfId="10" applyFont="1" applyBorder="1" applyAlignment="1" applyProtection="1">
      <alignment horizontal="center" vertical="center"/>
    </xf>
    <xf numFmtId="2" fontId="10" fillId="0" borderId="16" xfId="10" applyNumberFormat="1" applyBorder="1" applyAlignment="1" applyProtection="1">
      <alignment vertical="center" wrapText="1"/>
    </xf>
    <xf numFmtId="43" fontId="10" fillId="0" borderId="16" xfId="11" applyNumberFormat="1" applyBorder="1" applyAlignment="1">
      <alignment horizontal="center" vertical="center" wrapText="1"/>
    </xf>
    <xf numFmtId="2" fontId="10" fillId="3" borderId="29" xfId="11" applyNumberFormat="1" applyFill="1" applyBorder="1" applyAlignment="1">
      <alignment horizontal="center" vertical="center" wrapText="1"/>
    </xf>
    <xf numFmtId="2" fontId="10" fillId="3" borderId="17" xfId="10" applyNumberFormat="1" applyFill="1" applyBorder="1" applyAlignment="1" applyProtection="1">
      <alignment horizontal="center" vertical="center"/>
    </xf>
    <xf numFmtId="43" fontId="10" fillId="0" borderId="16" xfId="11" applyNumberFormat="1" applyBorder="1" applyAlignment="1"/>
    <xf numFmtId="43" fontId="10" fillId="3" borderId="16" xfId="11" applyNumberFormat="1" applyFill="1" applyBorder="1" applyAlignment="1">
      <alignment horizontal="right" vertical="center" wrapText="1"/>
    </xf>
    <xf numFmtId="43" fontId="10" fillId="3" borderId="51" xfId="11" applyNumberFormat="1" applyFill="1" applyBorder="1" applyAlignment="1">
      <alignment horizontal="right" vertical="center" wrapText="1"/>
    </xf>
    <xf numFmtId="0" fontId="14" fillId="0" borderId="14" xfId="11" applyFont="1" applyBorder="1">
      <alignment vertical="center"/>
    </xf>
    <xf numFmtId="43" fontId="14" fillId="3" borderId="14" xfId="11" applyNumberFormat="1" applyFont="1" applyFill="1" applyBorder="1" applyAlignment="1">
      <alignment horizontal="center" vertical="center" wrapText="1"/>
    </xf>
    <xf numFmtId="43" fontId="10" fillId="3" borderId="55" xfId="11" applyNumberFormat="1" applyFill="1" applyBorder="1" applyAlignment="1">
      <alignment horizontal="center" vertical="center" wrapText="1"/>
    </xf>
    <xf numFmtId="43" fontId="10" fillId="3" borderId="29" xfId="11" applyNumberFormat="1" applyFill="1" applyBorder="1" applyAlignment="1">
      <alignment horizontal="center" vertical="center" wrapText="1"/>
    </xf>
    <xf numFmtId="43" fontId="14" fillId="3" borderId="16" xfId="11" applyNumberFormat="1" applyFont="1" applyFill="1" applyBorder="1" applyAlignment="1">
      <alignment horizontal="left" vertical="center" wrapText="1"/>
    </xf>
    <xf numFmtId="0" fontId="10" fillId="0" borderId="51" xfId="11" applyBorder="1">
      <alignment vertical="center"/>
    </xf>
    <xf numFmtId="0" fontId="14" fillId="0" borderId="37" xfId="11" applyFont="1" applyBorder="1">
      <alignment vertical="center"/>
    </xf>
    <xf numFmtId="2" fontId="10" fillId="13" borderId="17" xfId="10" applyNumberFormat="1" applyFill="1" applyBorder="1" applyAlignment="1" applyProtection="1">
      <alignment vertical="center"/>
    </xf>
    <xf numFmtId="0" fontId="10" fillId="7" borderId="35" xfId="11" applyFill="1" applyBorder="1" applyAlignment="1">
      <alignment horizontal="center" vertical="center" wrapText="1"/>
    </xf>
    <xf numFmtId="0" fontId="10" fillId="3" borderId="36" xfId="10" applyFill="1" applyBorder="1" applyAlignment="1" applyProtection="1">
      <alignment horizontal="left" vertical="center" wrapText="1"/>
    </xf>
    <xf numFmtId="0" fontId="14" fillId="3" borderId="40" xfId="10" applyFont="1" applyFill="1" applyBorder="1" applyAlignment="1" applyProtection="1">
      <alignment vertical="center"/>
    </xf>
    <xf numFmtId="43" fontId="14" fillId="3" borderId="29" xfId="11" applyNumberFormat="1" applyFont="1" applyFill="1" applyBorder="1" applyAlignment="1">
      <alignment horizontal="center" vertical="center" wrapText="1"/>
    </xf>
    <xf numFmtId="43" fontId="10" fillId="0" borderId="35" xfId="11" applyNumberFormat="1" applyBorder="1" applyAlignment="1">
      <alignment horizontal="left" vertical="center" wrapText="1"/>
    </xf>
    <xf numFmtId="2" fontId="10" fillId="0" borderId="16" xfId="11" applyNumberFormat="1" applyBorder="1" applyAlignment="1"/>
    <xf numFmtId="2" fontId="14" fillId="3" borderId="14" xfId="11" applyNumberFormat="1" applyFont="1" applyFill="1" applyBorder="1" applyAlignment="1">
      <alignment horizontal="center" vertical="center" wrapText="1"/>
    </xf>
    <xf numFmtId="43" fontId="14" fillId="3" borderId="40" xfId="11" applyNumberFormat="1" applyFont="1" applyFill="1" applyBorder="1" applyAlignment="1">
      <alignment horizontal="center" vertical="center" wrapText="1"/>
    </xf>
    <xf numFmtId="2" fontId="10" fillId="3" borderId="16" xfId="11" applyNumberFormat="1" applyFill="1" applyBorder="1" applyAlignment="1">
      <alignment vertical="center" wrapText="1"/>
    </xf>
    <xf numFmtId="0" fontId="10" fillId="0" borderId="16" xfId="11" applyBorder="1" applyAlignment="1">
      <alignment horizontal="center"/>
    </xf>
    <xf numFmtId="43" fontId="14" fillId="3" borderId="15" xfId="11" applyNumberFormat="1" applyFont="1" applyFill="1" applyBorder="1" applyAlignment="1">
      <alignment horizontal="center" vertical="center" wrapText="1"/>
    </xf>
    <xf numFmtId="2" fontId="10" fillId="3" borderId="16" xfId="10" applyNumberFormat="1" applyFill="1" applyBorder="1" applyAlignment="1" applyProtection="1">
      <alignment horizontal="center" vertical="center"/>
    </xf>
    <xf numFmtId="43" fontId="38" fillId="3" borderId="16" xfId="11" applyNumberFormat="1" applyFont="1" applyFill="1" applyBorder="1" applyAlignment="1">
      <alignment horizontal="center" vertical="center" wrapText="1"/>
    </xf>
    <xf numFmtId="0" fontId="10" fillId="3" borderId="16" xfId="11" applyFill="1" applyBorder="1" applyAlignment="1">
      <alignment horizontal="center" vertical="center" wrapText="1"/>
    </xf>
    <xf numFmtId="2" fontId="14" fillId="3" borderId="16" xfId="11" applyNumberFormat="1" applyFont="1" applyFill="1" applyBorder="1" applyAlignment="1">
      <alignment vertical="center" wrapText="1"/>
    </xf>
    <xf numFmtId="0" fontId="10" fillId="3" borderId="34" xfId="11" applyFill="1" applyBorder="1" applyAlignment="1">
      <alignment horizontal="center"/>
    </xf>
    <xf numFmtId="0" fontId="10" fillId="3" borderId="35" xfId="11" applyFill="1" applyBorder="1" applyAlignment="1">
      <alignment horizontal="center"/>
    </xf>
    <xf numFmtId="0" fontId="10" fillId="3" borderId="34" xfId="11" applyFill="1" applyBorder="1" applyAlignment="1"/>
    <xf numFmtId="0" fontId="10" fillId="3" borderId="35" xfId="11" applyFill="1" applyBorder="1" applyAlignment="1"/>
    <xf numFmtId="43" fontId="14" fillId="3" borderId="35" xfId="11" applyNumberFormat="1" applyFont="1" applyFill="1" applyBorder="1" applyAlignment="1">
      <alignment horizontal="center" vertical="center" wrapText="1"/>
    </xf>
    <xf numFmtId="0" fontId="10" fillId="7" borderId="0" xfId="11" applyFill="1" applyAlignment="1">
      <alignment horizontal="center" vertical="center"/>
    </xf>
    <xf numFmtId="0" fontId="39" fillId="14" borderId="0" xfId="11" applyFont="1" applyFill="1" applyAlignment="1"/>
    <xf numFmtId="0" fontId="10" fillId="14" borderId="0" xfId="11" applyFill="1" applyAlignme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right" vertical="center" wrapText="1"/>
    </xf>
    <xf numFmtId="0" fontId="5" fillId="0" borderId="31" xfId="0" applyFont="1" applyBorder="1" applyAlignment="1">
      <alignment horizontal="right" vertical="center" wrapText="1"/>
    </xf>
    <xf numFmtId="0" fontId="5" fillId="0" borderId="32" xfId="0" applyFont="1" applyBorder="1" applyAlignment="1">
      <alignment horizontal="right" vertical="center" wrapText="1"/>
    </xf>
    <xf numFmtId="0" fontId="14" fillId="0" borderId="16" xfId="10" applyFont="1" applyBorder="1" applyAlignment="1" applyProtection="1">
      <alignment horizontal="center" vertical="center" wrapText="1"/>
    </xf>
    <xf numFmtId="0" fontId="14" fillId="0" borderId="18" xfId="10" applyFont="1" applyBorder="1" applyAlignment="1" applyProtection="1">
      <alignment horizontal="center" vertical="center" wrapText="1"/>
    </xf>
    <xf numFmtId="0" fontId="14" fillId="4" borderId="14" xfId="10" applyFont="1" applyFill="1" applyBorder="1" applyAlignment="1" applyProtection="1">
      <alignment horizontal="center" vertical="center"/>
    </xf>
    <xf numFmtId="0" fontId="14" fillId="4" borderId="19" xfId="10" applyFont="1" applyFill="1" applyBorder="1" applyAlignment="1" applyProtection="1">
      <alignment horizontal="center" vertical="center"/>
    </xf>
    <xf numFmtId="2" fontId="10" fillId="3" borderId="16" xfId="11" applyNumberFormat="1" applyFill="1" applyBorder="1" applyAlignment="1">
      <alignment horizontal="left" vertical="center" wrapText="1"/>
    </xf>
    <xf numFmtId="0" fontId="10" fillId="3" borderId="16" xfId="11" applyFill="1" applyBorder="1" applyAlignment="1">
      <alignment horizontal="left" vertical="center" wrapText="1"/>
    </xf>
    <xf numFmtId="0" fontId="10" fillId="3" borderId="18" xfId="11" applyFill="1" applyBorder="1" applyAlignment="1">
      <alignment horizontal="left" vertical="center" wrapText="1"/>
    </xf>
    <xf numFmtId="43" fontId="10" fillId="3" borderId="37" xfId="11" applyNumberFormat="1" applyFill="1" applyBorder="1" applyAlignment="1">
      <alignment horizontal="center" vertical="center" wrapText="1"/>
    </xf>
    <xf numFmtId="43" fontId="10" fillId="3" borderId="38" xfId="11" applyNumberFormat="1" applyFill="1" applyBorder="1" applyAlignment="1">
      <alignment horizontal="center" vertical="center" wrapText="1"/>
    </xf>
    <xf numFmtId="43" fontId="10" fillId="3" borderId="39" xfId="11" applyNumberFormat="1" applyFill="1" applyBorder="1" applyAlignment="1">
      <alignment horizontal="center" vertical="center" wrapText="1"/>
    </xf>
    <xf numFmtId="43" fontId="10" fillId="3" borderId="35" xfId="11" applyNumberFormat="1" applyFill="1" applyBorder="1" applyAlignment="1">
      <alignment horizontal="center" vertical="center" wrapText="1"/>
    </xf>
    <xf numFmtId="0" fontId="14" fillId="3" borderId="1" xfId="10" applyFont="1" applyFill="1" applyBorder="1" applyAlignment="1" applyProtection="1">
      <alignment horizontal="center" vertical="center" wrapText="1"/>
    </xf>
    <xf numFmtId="0" fontId="35" fillId="3" borderId="2" xfId="10" applyFont="1" applyFill="1" applyBorder="1" applyAlignment="1" applyProtection="1">
      <alignment horizontal="center" vertical="center" wrapText="1"/>
    </xf>
    <xf numFmtId="0" fontId="35" fillId="3" borderId="3" xfId="10" applyFont="1" applyFill="1" applyBorder="1" applyAlignment="1" applyProtection="1">
      <alignment horizontal="center" vertical="center" wrapText="1"/>
    </xf>
    <xf numFmtId="0" fontId="35" fillId="3" borderId="34" xfId="10" applyFont="1" applyFill="1" applyBorder="1" applyAlignment="1" applyProtection="1">
      <alignment horizontal="center" vertical="center" wrapText="1"/>
    </xf>
    <xf numFmtId="0" fontId="35" fillId="3" borderId="35" xfId="10" applyFont="1" applyFill="1" applyBorder="1" applyAlignment="1" applyProtection="1">
      <alignment horizontal="center" vertical="center" wrapText="1"/>
    </xf>
    <xf numFmtId="0" fontId="14" fillId="3" borderId="34" xfId="10" applyFont="1" applyFill="1" applyBorder="1" applyAlignment="1" applyProtection="1">
      <alignment horizontal="center" vertical="center"/>
    </xf>
    <xf numFmtId="0" fontId="14" fillId="3" borderId="35" xfId="10" applyFont="1" applyFill="1" applyBorder="1" applyAlignment="1" applyProtection="1">
      <alignment horizontal="center" vertical="center"/>
    </xf>
    <xf numFmtId="0" fontId="14" fillId="3" borderId="35" xfId="10" applyFont="1" applyFill="1" applyBorder="1" applyAlignment="1" applyProtection="1">
      <alignment horizontal="left" vertical="center" wrapText="1"/>
    </xf>
    <xf numFmtId="0" fontId="14" fillId="3" borderId="34" xfId="10" applyFont="1" applyFill="1" applyBorder="1" applyAlignment="1" applyProtection="1">
      <alignment horizontal="justify" vertical="center" wrapText="1"/>
    </xf>
    <xf numFmtId="1" fontId="10" fillId="3" borderId="16" xfId="11" applyNumberFormat="1" applyFill="1" applyBorder="1" applyAlignment="1">
      <alignment horizontal="left" vertical="center" wrapText="1"/>
    </xf>
    <xf numFmtId="43" fontId="14" fillId="3" borderId="39" xfId="11" applyNumberFormat="1" applyFont="1" applyFill="1" applyBorder="1" applyAlignment="1">
      <alignment horizontal="center" vertical="center" wrapText="1"/>
    </xf>
    <xf numFmtId="43" fontId="14" fillId="3" borderId="35" xfId="11" applyNumberFormat="1" applyFont="1" applyFill="1" applyBorder="1" applyAlignment="1">
      <alignment horizontal="center" vertical="center" wrapText="1"/>
    </xf>
    <xf numFmtId="43" fontId="10" fillId="3" borderId="35" xfId="11" applyNumberFormat="1" applyFill="1" applyBorder="1" applyAlignment="1">
      <alignment horizontal="left" vertical="center" wrapText="1"/>
    </xf>
    <xf numFmtId="0" fontId="14" fillId="4" borderId="17" xfId="10" applyFont="1" applyFill="1" applyBorder="1" applyAlignment="1" applyProtection="1">
      <alignment horizontal="center" vertical="center"/>
    </xf>
    <xf numFmtId="4" fontId="10" fillId="0" borderId="16" xfId="10" applyNumberFormat="1" applyBorder="1" applyAlignment="1" applyProtection="1">
      <alignment horizontal="left" vertical="center" wrapText="1"/>
    </xf>
    <xf numFmtId="0" fontId="10" fillId="0" borderId="16" xfId="10" applyBorder="1" applyAlignment="1" applyProtection="1">
      <alignment horizontal="left" vertical="center" wrapText="1"/>
    </xf>
    <xf numFmtId="0" fontId="10" fillId="0" borderId="18" xfId="10" applyBorder="1" applyAlignment="1" applyProtection="1">
      <alignment horizontal="left" vertical="center" wrapText="1"/>
    </xf>
    <xf numFmtId="43" fontId="10" fillId="3" borderId="16" xfId="11" applyNumberFormat="1" applyFill="1" applyBorder="1" applyAlignment="1">
      <alignment horizontal="left" vertical="center" wrapText="1"/>
    </xf>
    <xf numFmtId="2" fontId="10" fillId="3" borderId="16" xfId="10" applyNumberFormat="1" applyFill="1" applyBorder="1" applyAlignment="1" applyProtection="1">
      <alignment vertical="center"/>
    </xf>
    <xf numFmtId="0" fontId="10" fillId="3" borderId="0" xfId="11" applyFill="1" applyAlignment="1">
      <alignment horizontal="center" vertical="center" wrapText="1"/>
    </xf>
    <xf numFmtId="0" fontId="10" fillId="3" borderId="35" xfId="11" applyFill="1" applyBorder="1" applyAlignment="1">
      <alignment horizontal="center" vertical="center" wrapText="1"/>
    </xf>
    <xf numFmtId="0" fontId="10" fillId="0" borderId="35" xfId="11" applyBorder="1" applyAlignment="1">
      <alignment vertical="center" wrapText="1"/>
    </xf>
    <xf numFmtId="4" fontId="10" fillId="0" borderId="17" xfId="10" applyNumberFormat="1" applyBorder="1" applyAlignment="1" applyProtection="1">
      <alignment horizontal="left" vertical="center" wrapText="1"/>
    </xf>
    <xf numFmtId="4" fontId="10" fillId="0" borderId="14" xfId="10" applyNumberFormat="1" applyBorder="1" applyAlignment="1" applyProtection="1">
      <alignment horizontal="left" vertical="center" wrapText="1"/>
    </xf>
    <xf numFmtId="43" fontId="10" fillId="3" borderId="16" xfId="11" applyNumberFormat="1" applyFill="1" applyBorder="1" applyAlignment="1">
      <alignment horizontal="center" vertical="center" wrapText="1"/>
    </xf>
    <xf numFmtId="43" fontId="14" fillId="3" borderId="35" xfId="10" applyNumberFormat="1" applyFont="1" applyFill="1" applyBorder="1" applyAlignment="1" applyProtection="1">
      <alignment horizontal="center" vertical="center" wrapText="1"/>
    </xf>
    <xf numFmtId="2" fontId="10" fillId="3" borderId="16" xfId="10" applyNumberFormat="1" applyFill="1" applyBorder="1" applyAlignment="1" applyProtection="1">
      <alignment horizontal="left" vertical="center"/>
    </xf>
    <xf numFmtId="43" fontId="10" fillId="3" borderId="39" xfId="11" applyNumberFormat="1" applyFill="1" applyBorder="1" applyAlignment="1">
      <alignment horizontal="left" vertical="center" wrapText="1"/>
    </xf>
    <xf numFmtId="43" fontId="10" fillId="3" borderId="17" xfId="11" applyNumberFormat="1" applyFill="1" applyBorder="1" applyAlignment="1">
      <alignment horizontal="left" vertical="center" wrapText="1"/>
    </xf>
    <xf numFmtId="43" fontId="10" fillId="3" borderId="15" xfId="11" applyNumberFormat="1" applyFill="1" applyBorder="1" applyAlignment="1">
      <alignment horizontal="left" vertical="center" wrapText="1"/>
    </xf>
    <xf numFmtId="4" fontId="10" fillId="0" borderId="19" xfId="10" applyNumberFormat="1" applyBorder="1" applyAlignment="1" applyProtection="1">
      <alignment horizontal="left" vertical="center" wrapText="1"/>
    </xf>
    <xf numFmtId="0" fontId="10" fillId="3" borderId="39" xfId="11" applyFill="1" applyBorder="1" applyAlignment="1">
      <alignment horizontal="center" vertical="center" wrapText="1"/>
    </xf>
    <xf numFmtId="0" fontId="10" fillId="13" borderId="17" xfId="11" applyFill="1" applyBorder="1" applyAlignment="1"/>
    <xf numFmtId="0" fontId="10" fillId="13" borderId="15" xfId="11" applyFill="1" applyBorder="1" applyAlignment="1"/>
    <xf numFmtId="43" fontId="10" fillId="13" borderId="35" xfId="11" applyNumberFormat="1" applyFill="1" applyBorder="1" applyAlignment="1">
      <alignment horizontal="center" vertical="center" wrapText="1"/>
    </xf>
    <xf numFmtId="0" fontId="10" fillId="0" borderId="16" xfId="11" applyBorder="1" applyAlignment="1"/>
    <xf numFmtId="43" fontId="10" fillId="13" borderId="17" xfId="11" applyNumberFormat="1" applyFill="1" applyBorder="1" applyAlignment="1">
      <alignment vertical="center" wrapText="1"/>
    </xf>
    <xf numFmtId="43" fontId="10" fillId="13" borderId="15" xfId="11" applyNumberFormat="1" applyFill="1" applyBorder="1" applyAlignment="1">
      <alignment vertical="center" wrapText="1"/>
    </xf>
    <xf numFmtId="0" fontId="10" fillId="7" borderId="17" xfId="11" applyFill="1" applyBorder="1" applyAlignment="1"/>
    <xf numFmtId="0" fontId="10" fillId="7" borderId="15" xfId="11" applyFill="1" applyBorder="1" applyAlignment="1"/>
    <xf numFmtId="2" fontId="10" fillId="7" borderId="16" xfId="11" applyNumberFormat="1" applyFill="1" applyBorder="1" applyAlignment="1"/>
    <xf numFmtId="0" fontId="10" fillId="7" borderId="16" xfId="11" applyFill="1" applyBorder="1" applyAlignment="1"/>
    <xf numFmtId="2" fontId="10" fillId="7" borderId="17" xfId="11" applyNumberFormat="1" applyFill="1" applyBorder="1" applyAlignment="1"/>
    <xf numFmtId="2" fontId="10" fillId="7" borderId="15" xfId="11" applyNumberFormat="1" applyFill="1" applyBorder="1" applyAlignment="1"/>
    <xf numFmtId="0" fontId="10" fillId="3" borderId="35" xfId="10" applyFill="1" applyBorder="1" applyAlignment="1" applyProtection="1">
      <alignment horizontal="center" vertical="center" wrapText="1"/>
    </xf>
    <xf numFmtId="0" fontId="10" fillId="3" borderId="35" xfId="10" applyFill="1" applyBorder="1" applyAlignment="1" applyProtection="1">
      <alignment horizontal="left" vertical="center" wrapText="1"/>
    </xf>
    <xf numFmtId="43" fontId="22" fillId="3" borderId="17" xfId="11" applyNumberFormat="1" applyFont="1" applyFill="1" applyBorder="1" applyAlignment="1">
      <alignment horizontal="center" vertical="center" wrapText="1"/>
    </xf>
    <xf numFmtId="43" fontId="22" fillId="3" borderId="15" xfId="11" applyNumberFormat="1" applyFont="1" applyFill="1" applyBorder="1" applyAlignment="1">
      <alignment horizontal="center" vertical="center" wrapText="1"/>
    </xf>
    <xf numFmtId="43" fontId="10" fillId="3" borderId="17" xfId="11" applyNumberFormat="1" applyFill="1" applyBorder="1" applyAlignment="1">
      <alignment horizontal="center" vertical="center" wrapText="1"/>
    </xf>
    <xf numFmtId="43" fontId="10" fillId="3" borderId="15" xfId="11" applyNumberFormat="1" applyFill="1" applyBorder="1" applyAlignment="1">
      <alignment horizontal="center" vertical="center" wrapText="1"/>
    </xf>
    <xf numFmtId="2" fontId="10" fillId="3" borderId="17" xfId="10" applyNumberFormat="1" applyFill="1" applyBorder="1" applyAlignment="1" applyProtection="1">
      <alignment horizontal="center" vertical="center"/>
    </xf>
    <xf numFmtId="2" fontId="10" fillId="3" borderId="15" xfId="10" applyNumberFormat="1" applyFill="1" applyBorder="1" applyAlignment="1" applyProtection="1">
      <alignment horizontal="center" vertical="center"/>
    </xf>
    <xf numFmtId="49" fontId="10" fillId="3" borderId="16" xfId="11" applyNumberFormat="1" applyFill="1" applyBorder="1" applyAlignment="1">
      <alignment horizontal="left" vertical="center" wrapText="1"/>
    </xf>
    <xf numFmtId="2" fontId="10" fillId="7" borderId="16" xfId="10" applyNumberFormat="1" applyFill="1" applyBorder="1" applyAlignment="1" applyProtection="1">
      <alignment horizontal="left" vertical="center"/>
    </xf>
    <xf numFmtId="43" fontId="10" fillId="3" borderId="16" xfId="11" applyNumberFormat="1" applyFill="1" applyBorder="1" applyAlignment="1">
      <alignment vertical="center" wrapText="1"/>
    </xf>
    <xf numFmtId="43" fontId="10" fillId="3" borderId="17" xfId="11" applyNumberFormat="1" applyFill="1" applyBorder="1" applyAlignment="1">
      <alignment vertical="center" wrapText="1"/>
    </xf>
    <xf numFmtId="43" fontId="10" fillId="3" borderId="15" xfId="11" applyNumberFormat="1" applyFill="1" applyBorder="1" applyAlignment="1">
      <alignment vertical="center" wrapText="1"/>
    </xf>
    <xf numFmtId="2" fontId="10" fillId="0" borderId="16" xfId="11" applyNumberFormat="1" applyBorder="1">
      <alignment vertical="center"/>
    </xf>
    <xf numFmtId="0" fontId="10" fillId="0" borderId="16" xfId="11" applyBorder="1">
      <alignment vertical="center"/>
    </xf>
    <xf numFmtId="49" fontId="1" fillId="0" borderId="16" xfId="8" applyNumberFormat="1" applyBorder="1" applyAlignment="1">
      <alignment horizontal="left" vertical="center" wrapText="1"/>
    </xf>
    <xf numFmtId="0" fontId="1" fillId="0" borderId="16" xfId="8" applyBorder="1" applyAlignment="1">
      <alignment horizontal="left" vertical="center" wrapText="1"/>
    </xf>
    <xf numFmtId="0" fontId="10" fillId="0" borderId="17" xfId="11" applyBorder="1" applyAlignment="1">
      <alignment horizontal="left" vertical="center"/>
    </xf>
    <xf numFmtId="0" fontId="10" fillId="0" borderId="15" xfId="11" applyBorder="1" applyAlignment="1">
      <alignment horizontal="left" vertical="center"/>
    </xf>
    <xf numFmtId="0" fontId="10" fillId="3" borderId="17" xfId="11" applyFill="1" applyBorder="1" applyAlignment="1">
      <alignment horizontal="left" vertical="center" wrapText="1"/>
    </xf>
    <xf numFmtId="0" fontId="10" fillId="3" borderId="14" xfId="11" applyFill="1" applyBorder="1" applyAlignment="1">
      <alignment horizontal="left" vertical="center" wrapText="1"/>
    </xf>
    <xf numFmtId="0" fontId="10" fillId="3" borderId="19" xfId="11" applyFill="1" applyBorder="1" applyAlignment="1">
      <alignment horizontal="left" vertical="center" wrapText="1"/>
    </xf>
    <xf numFmtId="0" fontId="10" fillId="0" borderId="17" xfId="11" applyBorder="1" applyAlignment="1">
      <alignment horizontal="center" vertical="center"/>
    </xf>
    <xf numFmtId="0" fontId="10" fillId="0" borderId="15" xfId="11" applyBorder="1" applyAlignment="1">
      <alignment horizontal="center" vertical="center"/>
    </xf>
    <xf numFmtId="2" fontId="10" fillId="0" borderId="17" xfId="11" applyNumberFormat="1" applyBorder="1">
      <alignment vertical="center"/>
    </xf>
    <xf numFmtId="2" fontId="10" fillId="0" borderId="15" xfId="11" applyNumberFormat="1" applyBorder="1">
      <alignment vertical="center"/>
    </xf>
    <xf numFmtId="0" fontId="10" fillId="0" borderId="17" xfId="11" applyBorder="1">
      <alignment vertical="center"/>
    </xf>
    <xf numFmtId="0" fontId="10" fillId="0" borderId="15" xfId="11" applyBorder="1">
      <alignment vertical="center"/>
    </xf>
    <xf numFmtId="1" fontId="10" fillId="3" borderId="17" xfId="11" applyNumberFormat="1" applyFill="1" applyBorder="1" applyAlignment="1">
      <alignment horizontal="left" vertical="center" wrapText="1"/>
    </xf>
    <xf numFmtId="1" fontId="10" fillId="3" borderId="14" xfId="11" applyNumberFormat="1" applyFill="1" applyBorder="1" applyAlignment="1">
      <alignment horizontal="left" vertical="center" wrapText="1"/>
    </xf>
    <xf numFmtId="1" fontId="10" fillId="3" borderId="19" xfId="11" applyNumberFormat="1" applyFill="1" applyBorder="1" applyAlignment="1">
      <alignment horizontal="left" vertical="center" wrapText="1"/>
    </xf>
    <xf numFmtId="0" fontId="10" fillId="0" borderId="16" xfId="11" applyBorder="1" applyAlignment="1">
      <alignment horizontal="center" vertical="center"/>
    </xf>
    <xf numFmtId="0" fontId="10" fillId="0" borderId="56" xfId="11" applyBorder="1" applyAlignment="1">
      <alignment horizontal="left" vertical="center"/>
    </xf>
    <xf numFmtId="0" fontId="10" fillId="0" borderId="57" xfId="11" applyBorder="1" applyAlignment="1">
      <alignment horizontal="left" vertical="center"/>
    </xf>
    <xf numFmtId="43" fontId="10" fillId="0" borderId="39" xfId="11" applyNumberFormat="1" applyBorder="1" applyAlignment="1">
      <alignment horizontal="left" vertical="center" wrapText="1"/>
    </xf>
    <xf numFmtId="43" fontId="10" fillId="0" borderId="35" xfId="11" applyNumberFormat="1" applyBorder="1" applyAlignment="1">
      <alignment horizontal="left" vertical="center" wrapText="1"/>
    </xf>
    <xf numFmtId="1" fontId="10" fillId="7" borderId="16" xfId="11" applyNumberFormat="1" applyFill="1" applyBorder="1" applyAlignment="1">
      <alignment horizontal="left" vertical="center" wrapText="1"/>
    </xf>
    <xf numFmtId="0" fontId="14" fillId="4" borderId="16" xfId="10" applyFont="1" applyFill="1" applyBorder="1" applyAlignment="1" applyProtection="1">
      <alignment horizontal="center" vertical="center"/>
    </xf>
    <xf numFmtId="43" fontId="10" fillId="0" borderId="35" xfId="11" applyNumberFormat="1" applyBorder="1" applyAlignment="1">
      <alignment horizontal="center" vertical="center" wrapText="1"/>
    </xf>
    <xf numFmtId="2" fontId="10" fillId="3" borderId="50" xfId="10" applyNumberFormat="1" applyFill="1" applyBorder="1" applyAlignment="1" applyProtection="1">
      <alignment horizontal="center" vertical="center" wrapText="1"/>
    </xf>
    <xf numFmtId="2" fontId="10" fillId="3" borderId="55" xfId="10" applyNumberFormat="1" applyFill="1" applyBorder="1" applyAlignment="1" applyProtection="1">
      <alignment horizontal="center" vertical="center" wrapText="1"/>
    </xf>
    <xf numFmtId="2" fontId="10" fillId="3" borderId="39" xfId="10" applyNumberFormat="1" applyFill="1" applyBorder="1" applyAlignment="1" applyProtection="1">
      <alignment horizontal="center" vertical="center" wrapText="1"/>
    </xf>
    <xf numFmtId="2" fontId="10" fillId="3" borderId="40" xfId="10" applyNumberFormat="1" applyFill="1" applyBorder="1" applyAlignment="1" applyProtection="1">
      <alignment horizontal="center" vertical="center" wrapText="1"/>
    </xf>
    <xf numFmtId="2" fontId="10" fillId="3" borderId="56" xfId="10" applyNumberFormat="1" applyFill="1" applyBorder="1" applyAlignment="1" applyProtection="1">
      <alignment horizontal="center" vertical="center" wrapText="1"/>
    </xf>
    <xf numFmtId="2" fontId="10" fillId="3" borderId="57" xfId="10" applyNumberFormat="1" applyFill="1" applyBorder="1" applyAlignment="1" applyProtection="1">
      <alignment horizontal="center" vertical="center" wrapText="1"/>
    </xf>
    <xf numFmtId="43" fontId="37" fillId="3" borderId="35" xfId="11" applyNumberFormat="1" applyFont="1" applyFill="1" applyBorder="1" applyAlignment="1">
      <alignment horizontal="center" vertical="center" wrapText="1"/>
    </xf>
    <xf numFmtId="0" fontId="10" fillId="3" borderId="34" xfId="11" applyFill="1" applyBorder="1" applyAlignment="1">
      <alignment horizontal="center"/>
    </xf>
    <xf numFmtId="0" fontId="10" fillId="3" borderId="35" xfId="11" applyFill="1" applyBorder="1" applyAlignment="1">
      <alignment horizontal="center"/>
    </xf>
    <xf numFmtId="2" fontId="10" fillId="3" borderId="29" xfId="10" applyNumberFormat="1" applyFill="1" applyBorder="1" applyAlignment="1" applyProtection="1">
      <alignment vertical="center"/>
    </xf>
    <xf numFmtId="2" fontId="10" fillId="3" borderId="47" xfId="10" applyNumberFormat="1" applyFill="1" applyBorder="1" applyAlignment="1" applyProtection="1">
      <alignment vertical="center"/>
    </xf>
    <xf numFmtId="2" fontId="10" fillId="3" borderId="51" xfId="10" applyNumberFormat="1" applyFill="1" applyBorder="1" applyAlignment="1" applyProtection="1">
      <alignment vertical="center"/>
    </xf>
    <xf numFmtId="43" fontId="10" fillId="3" borderId="29" xfId="11" applyNumberFormat="1" applyFill="1" applyBorder="1" applyAlignment="1">
      <alignment horizontal="center" vertical="center" wrapText="1"/>
    </xf>
    <xf numFmtId="43" fontId="10" fillId="3" borderId="51" xfId="11" applyNumberForma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2" fontId="23" fillId="0" borderId="17" xfId="6" applyNumberFormat="1" applyFont="1" applyBorder="1" applyAlignment="1">
      <alignment horizontal="center"/>
      <protection locked="0"/>
    </xf>
    <xf numFmtId="2" fontId="23" fillId="0" borderId="14" xfId="6" applyNumberFormat="1" applyFont="1" applyBorder="1" applyAlignment="1">
      <alignment horizontal="center"/>
      <protection locked="0"/>
    </xf>
    <xf numFmtId="2" fontId="21" fillId="0" borderId="42" xfId="6" applyNumberFormat="1" applyFont="1" applyBorder="1" applyAlignment="1" applyProtection="1">
      <alignment horizontal="center" vertical="center"/>
    </xf>
    <xf numFmtId="2" fontId="21" fillId="0" borderId="46" xfId="6" applyNumberFormat="1" applyFont="1" applyBorder="1" applyAlignment="1" applyProtection="1">
      <alignment horizontal="center" vertical="center"/>
    </xf>
    <xf numFmtId="2" fontId="21" fillId="0" borderId="49" xfId="6" applyNumberFormat="1" applyFont="1" applyBorder="1" applyAlignment="1" applyProtection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0" fillId="0" borderId="14" xfId="0" applyFont="1" applyBorder="1" applyAlignment="1">
      <alignment horizontal="left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9" fillId="0" borderId="34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2" fontId="23" fillId="0" borderId="15" xfId="6" applyNumberFormat="1" applyFont="1" applyBorder="1" applyAlignment="1">
      <alignment horizont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4" fillId="0" borderId="34" xfId="0" applyFont="1" applyBorder="1" applyAlignment="1">
      <alignment horizontal="left"/>
    </xf>
    <xf numFmtId="2" fontId="23" fillId="0" borderId="11" xfId="6" applyNumberFormat="1" applyFont="1" applyBorder="1" applyAlignment="1" applyProtection="1">
      <alignment horizontal="center" vertical="center"/>
    </xf>
    <xf numFmtId="2" fontId="23" fillId="0" borderId="8" xfId="6" applyNumberFormat="1" applyFont="1" applyBorder="1" applyAlignment="1" applyProtection="1">
      <alignment horizontal="center" vertical="center"/>
    </xf>
    <xf numFmtId="167" fontId="0" fillId="0" borderId="34" xfId="0" applyNumberFormat="1" applyBorder="1" applyAlignment="1">
      <alignment horizontal="left" vertical="center" wrapText="1"/>
    </xf>
    <xf numFmtId="167" fontId="0" fillId="0" borderId="0" xfId="0" applyNumberFormat="1" applyAlignment="1">
      <alignment horizontal="left" vertical="center" wrapText="1"/>
    </xf>
    <xf numFmtId="0" fontId="0" fillId="0" borderId="3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41" xfId="0" applyBorder="1" applyAlignment="1">
      <alignment horizontal="center"/>
    </xf>
    <xf numFmtId="0" fontId="27" fillId="0" borderId="49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28" fillId="8" borderId="28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0" fontId="28" fillId="8" borderId="18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left" vertical="center" wrapText="1"/>
    </xf>
    <xf numFmtId="0" fontId="14" fillId="0" borderId="0" xfId="11" applyFont="1" applyBorder="1">
      <alignment vertical="center"/>
    </xf>
    <xf numFmtId="43" fontId="14" fillId="3" borderId="0" xfId="11" applyNumberFormat="1" applyFont="1" applyFill="1" applyBorder="1" applyAlignment="1">
      <alignment horizontal="center" vertical="center" wrapText="1"/>
    </xf>
    <xf numFmtId="10" fontId="22" fillId="0" borderId="15" xfId="6" applyNumberFormat="1" applyFont="1" applyBorder="1" applyAlignment="1" applyProtection="1">
      <alignment horizontal="center" vertical="center"/>
    </xf>
    <xf numFmtId="9" fontId="22" fillId="7" borderId="16" xfId="2" applyFont="1" applyFill="1" applyBorder="1" applyAlignment="1">
      <alignment vertical="center"/>
      <protection locked="0"/>
    </xf>
    <xf numFmtId="9" fontId="22" fillId="0" borderId="16" xfId="2" applyFont="1" applyBorder="1" applyAlignment="1">
      <alignment vertical="center"/>
      <protection locked="0"/>
    </xf>
    <xf numFmtId="10" fontId="22" fillId="5" borderId="33" xfId="6" applyNumberFormat="1" applyFont="1" applyFill="1" applyBorder="1" applyAlignment="1" applyProtection="1">
      <alignment horizontal="center" vertical="center"/>
    </xf>
    <xf numFmtId="4" fontId="22" fillId="0" borderId="33" xfId="6" applyNumberFormat="1" applyFont="1" applyBorder="1" applyAlignment="1" applyProtection="1">
      <alignment horizontal="center"/>
    </xf>
    <xf numFmtId="0" fontId="10" fillId="7" borderId="15" xfId="11" applyFill="1" applyBorder="1">
      <alignment vertical="center"/>
    </xf>
    <xf numFmtId="0" fontId="35" fillId="3" borderId="0" xfId="10" applyFont="1" applyFill="1" applyBorder="1" applyAlignment="1" applyProtection="1">
      <alignment horizontal="center" vertical="center" wrapText="1"/>
    </xf>
    <xf numFmtId="0" fontId="14" fillId="3" borderId="0" xfId="10" applyFont="1" applyFill="1" applyBorder="1" applyAlignment="1" applyProtection="1">
      <alignment horizontal="center" vertical="center"/>
    </xf>
    <xf numFmtId="0" fontId="14" fillId="3" borderId="0" xfId="10" applyFont="1" applyFill="1" applyBorder="1" applyAlignment="1" applyProtection="1">
      <alignment horizontal="left" wrapText="1"/>
    </xf>
    <xf numFmtId="0" fontId="14" fillId="3" borderId="0" xfId="10" applyFont="1" applyFill="1" applyBorder="1" applyAlignment="1" applyProtection="1">
      <alignment horizontal="center" vertical="center" wrapText="1"/>
    </xf>
    <xf numFmtId="0" fontId="14" fillId="3" borderId="0" xfId="10" applyFont="1" applyFill="1" applyBorder="1" applyAlignment="1" applyProtection="1">
      <alignment horizontal="left" vertical="center" wrapText="1"/>
    </xf>
    <xf numFmtId="0" fontId="14" fillId="3" borderId="0" xfId="10" applyFont="1" applyFill="1" applyBorder="1" applyAlignment="1" applyProtection="1">
      <alignment horizontal="justify" vertical="center" wrapText="1"/>
    </xf>
    <xf numFmtId="0" fontId="14" fillId="3" borderId="0" xfId="10" applyFont="1" applyFill="1" applyBorder="1" applyAlignment="1" applyProtection="1">
      <alignment wrapText="1"/>
    </xf>
    <xf numFmtId="0" fontId="14" fillId="3" borderId="0" xfId="10" applyFont="1" applyFill="1" applyBorder="1" applyAlignment="1" applyProtection="1">
      <alignment vertical="center"/>
    </xf>
    <xf numFmtId="43" fontId="10" fillId="3" borderId="0" xfId="11" applyNumberFormat="1" applyFill="1" applyBorder="1" applyAlignment="1">
      <alignment vertical="center" wrapText="1"/>
    </xf>
    <xf numFmtId="43" fontId="10" fillId="3" borderId="0" xfId="11" applyNumberFormat="1" applyFill="1" applyBorder="1" applyAlignment="1">
      <alignment horizontal="left" vertical="center" wrapText="1"/>
    </xf>
    <xf numFmtId="43" fontId="10" fillId="3" borderId="0" xfId="11" applyNumberFormat="1" applyFill="1" applyBorder="1" applyAlignment="1">
      <alignment horizontal="center" vertical="center" wrapText="1"/>
    </xf>
    <xf numFmtId="43" fontId="10" fillId="3" borderId="0" xfId="11" applyNumberFormat="1" applyFill="1" applyBorder="1" applyAlignment="1">
      <alignment horizontal="center" vertical="center" wrapText="1"/>
    </xf>
    <xf numFmtId="43" fontId="10" fillId="3" borderId="0" xfId="11" applyNumberFormat="1" applyFill="1" applyBorder="1" applyAlignment="1">
      <alignment horizontal="left" vertical="center" wrapText="1"/>
    </xf>
    <xf numFmtId="2" fontId="14" fillId="3" borderId="0" xfId="11" applyNumberFormat="1" applyFont="1" applyFill="1" applyBorder="1" applyAlignment="1">
      <alignment horizontal="center" vertical="center" wrapText="1"/>
    </xf>
    <xf numFmtId="0" fontId="1" fillId="0" borderId="0" xfId="8" applyBorder="1"/>
    <xf numFmtId="43" fontId="14" fillId="3" borderId="0" xfId="11" applyNumberFormat="1" applyFont="1" applyFill="1" applyBorder="1" applyAlignment="1">
      <alignment horizontal="center" vertical="center" wrapText="1"/>
    </xf>
    <xf numFmtId="0" fontId="10" fillId="0" borderId="0" xfId="11" applyBorder="1">
      <alignment vertical="center"/>
    </xf>
    <xf numFmtId="0" fontId="10" fillId="0" borderId="0" xfId="11" applyBorder="1" applyAlignment="1">
      <alignment horizontal="center" vertical="center"/>
    </xf>
    <xf numFmtId="0" fontId="10" fillId="0" borderId="0" xfId="11" applyBorder="1" applyAlignment="1"/>
    <xf numFmtId="43" fontId="10" fillId="0" borderId="0" xfId="11" applyNumberFormat="1" applyBorder="1">
      <alignment vertical="center"/>
    </xf>
    <xf numFmtId="1" fontId="10" fillId="7" borderId="0" xfId="10" applyNumberFormat="1" applyFill="1" applyBorder="1" applyAlignment="1" applyProtection="1">
      <alignment horizontal="center" vertical="center"/>
    </xf>
    <xf numFmtId="1" fontId="10" fillId="3" borderId="0" xfId="11" applyNumberFormat="1" applyFill="1" applyBorder="1" applyAlignment="1">
      <alignment horizontal="left" vertical="center" wrapText="1"/>
    </xf>
    <xf numFmtId="0" fontId="10" fillId="3" borderId="0" xfId="11" applyFill="1" applyBorder="1" applyAlignment="1">
      <alignment horizontal="left" vertical="center" wrapText="1"/>
    </xf>
    <xf numFmtId="0" fontId="10" fillId="0" borderId="0" xfId="11" applyBorder="1" applyAlignment="1">
      <alignment horizontal="center" vertical="center" wrapText="1"/>
    </xf>
    <xf numFmtId="2" fontId="10" fillId="0" borderId="0" xfId="11" applyNumberFormat="1" applyBorder="1">
      <alignment vertical="center"/>
    </xf>
    <xf numFmtId="0" fontId="10" fillId="7" borderId="0" xfId="11" applyFill="1" applyBorder="1">
      <alignment vertical="center"/>
    </xf>
    <xf numFmtId="1" fontId="10" fillId="7" borderId="0" xfId="11" applyNumberFormat="1" applyFill="1" applyBorder="1" applyAlignment="1">
      <alignment horizontal="center" vertical="center" wrapText="1"/>
    </xf>
    <xf numFmtId="0" fontId="1" fillId="7" borderId="0" xfId="8" applyFill="1" applyBorder="1" applyAlignment="1">
      <alignment horizontal="center" vertical="center"/>
    </xf>
    <xf numFmtId="1" fontId="10" fillId="7" borderId="0" xfId="11" applyNumberFormat="1" applyFill="1" applyBorder="1" applyAlignment="1">
      <alignment horizontal="left" vertical="center" wrapText="1"/>
    </xf>
    <xf numFmtId="0" fontId="1" fillId="7" borderId="0" xfId="8" applyFill="1" applyBorder="1"/>
    <xf numFmtId="0" fontId="10" fillId="0" borderId="0" xfId="11" applyBorder="1" applyAlignment="1">
      <alignment vertical="center" wrapText="1"/>
    </xf>
    <xf numFmtId="0" fontId="14" fillId="7" borderId="0" xfId="11" applyFont="1" applyFill="1" applyBorder="1">
      <alignment vertical="center"/>
    </xf>
    <xf numFmtId="0" fontId="10" fillId="7" borderId="0" xfId="11" applyFill="1" applyBorder="1" applyAlignment="1"/>
    <xf numFmtId="4" fontId="10" fillId="0" borderId="0" xfId="10" applyNumberFormat="1" applyBorder="1" applyAlignment="1" applyProtection="1">
      <alignment horizontal="left" vertical="center" wrapText="1"/>
    </xf>
    <xf numFmtId="0" fontId="10" fillId="3" borderId="0" xfId="10" applyFill="1" applyBorder="1" applyAlignment="1" applyProtection="1">
      <alignment horizontal="left" vertical="center" wrapText="1"/>
    </xf>
    <xf numFmtId="0" fontId="14" fillId="7" borderId="0" xfId="10" applyFont="1" applyFill="1" applyBorder="1" applyAlignment="1" applyProtection="1">
      <alignment vertical="center"/>
    </xf>
    <xf numFmtId="0" fontId="10" fillId="3" borderId="0" xfId="11" applyFill="1" applyBorder="1" applyAlignment="1">
      <alignment horizontal="center" vertical="center" wrapText="1"/>
    </xf>
    <xf numFmtId="0" fontId="10" fillId="3" borderId="0" xfId="11" applyFill="1" applyBorder="1" applyAlignment="1">
      <alignment horizontal="center" vertical="center" wrapText="1"/>
    </xf>
    <xf numFmtId="43" fontId="14" fillId="3" borderId="0" xfId="10" applyNumberFormat="1" applyFont="1" applyFill="1" applyBorder="1" applyAlignment="1" applyProtection="1">
      <alignment horizontal="center" vertical="center" wrapText="1"/>
    </xf>
    <xf numFmtId="2" fontId="10" fillId="3" borderId="0" xfId="10" applyNumberFormat="1" applyFill="1" applyBorder="1" applyAlignment="1" applyProtection="1">
      <alignment vertical="center"/>
    </xf>
    <xf numFmtId="1" fontId="10" fillId="3" borderId="0" xfId="10" applyNumberFormat="1" applyFill="1" applyBorder="1" applyAlignment="1" applyProtection="1">
      <alignment horizontal="center" vertical="center"/>
    </xf>
    <xf numFmtId="43" fontId="10" fillId="13" borderId="0" xfId="11" applyNumberFormat="1" applyFill="1" applyBorder="1" applyAlignment="1">
      <alignment horizontal="left" vertical="center" wrapText="1"/>
    </xf>
    <xf numFmtId="43" fontId="10" fillId="13" borderId="0" xfId="11" applyNumberFormat="1" applyFill="1" applyBorder="1" applyAlignment="1">
      <alignment horizontal="center" vertical="center" wrapText="1"/>
    </xf>
    <xf numFmtId="43" fontId="10" fillId="7" borderId="0" xfId="11" applyNumberFormat="1" applyFill="1" applyBorder="1" applyAlignment="1">
      <alignment horizontal="left" vertical="center" wrapText="1"/>
    </xf>
    <xf numFmtId="43" fontId="10" fillId="7" borderId="0" xfId="11" applyNumberFormat="1" applyFill="1" applyBorder="1" applyAlignment="1">
      <alignment horizontal="center" vertical="center" wrapText="1"/>
    </xf>
    <xf numFmtId="0" fontId="10" fillId="3" borderId="0" xfId="10" applyFill="1" applyBorder="1" applyAlignment="1" applyProtection="1">
      <alignment horizontal="center" vertical="center" wrapText="1"/>
    </xf>
    <xf numFmtId="0" fontId="10" fillId="13" borderId="0" xfId="11" applyFill="1" applyBorder="1" applyAlignment="1"/>
    <xf numFmtId="0" fontId="10" fillId="13" borderId="0" xfId="11" applyFill="1" applyBorder="1" applyAlignment="1">
      <alignment horizontal="center" vertical="center" wrapText="1"/>
    </xf>
    <xf numFmtId="0" fontId="10" fillId="7" borderId="0" xfId="11" applyFill="1" applyBorder="1" applyAlignment="1">
      <alignment horizontal="center" vertical="center" wrapText="1"/>
    </xf>
    <xf numFmtId="43" fontId="10" fillId="0" borderId="0" xfId="11" applyNumberFormat="1" applyBorder="1" applyAlignment="1"/>
    <xf numFmtId="0" fontId="10" fillId="0" borderId="0" xfId="10" applyBorder="1" applyAlignment="1" applyProtection="1">
      <alignment horizontal="left" vertical="center" wrapText="1"/>
    </xf>
    <xf numFmtId="0" fontId="10" fillId="3" borderId="0" xfId="10" applyFill="1" applyBorder="1" applyAlignment="1" applyProtection="1">
      <alignment horizontal="left" vertical="center" wrapText="1"/>
    </xf>
    <xf numFmtId="0" fontId="14" fillId="0" borderId="0" xfId="10" applyFont="1" applyBorder="1" applyAlignment="1" applyProtection="1">
      <alignment vertical="center"/>
    </xf>
    <xf numFmtId="0" fontId="10" fillId="0" borderId="0" xfId="11" applyBorder="1" applyAlignment="1">
      <alignment horizontal="center" vertical="center" wrapText="1"/>
    </xf>
    <xf numFmtId="49" fontId="1" fillId="0" borderId="0" xfId="8" applyNumberFormat="1" applyBorder="1" applyAlignment="1">
      <alignment horizontal="left" vertical="center" wrapText="1"/>
    </xf>
    <xf numFmtId="0" fontId="1" fillId="0" borderId="0" xfId="8" applyBorder="1" applyAlignment="1">
      <alignment horizontal="left" vertical="center" wrapText="1"/>
    </xf>
    <xf numFmtId="2" fontId="10" fillId="3" borderId="0" xfId="11" applyNumberFormat="1" applyFill="1" applyBorder="1" applyAlignment="1">
      <alignment horizontal="center" vertical="center" wrapText="1"/>
    </xf>
    <xf numFmtId="43" fontId="10" fillId="13" borderId="0" xfId="11" applyNumberFormat="1" applyFill="1" applyBorder="1" applyAlignment="1">
      <alignment horizontal="center" vertical="center" wrapText="1"/>
    </xf>
    <xf numFmtId="43" fontId="14" fillId="7" borderId="0" xfId="11" applyNumberFormat="1" applyFont="1" applyFill="1" applyBorder="1" applyAlignment="1">
      <alignment horizontal="center" vertical="center" wrapText="1"/>
    </xf>
    <xf numFmtId="2" fontId="10" fillId="7" borderId="0" xfId="11" applyNumberFormat="1" applyFill="1" applyBorder="1" applyAlignment="1">
      <alignment horizontal="center" vertical="center" wrapText="1"/>
    </xf>
    <xf numFmtId="43" fontId="10" fillId="0" borderId="0" xfId="11" applyNumberFormat="1" applyBorder="1" applyAlignment="1">
      <alignment horizontal="left" vertical="center" wrapText="1"/>
    </xf>
    <xf numFmtId="43" fontId="10" fillId="0" borderId="0" xfId="11" applyNumberFormat="1" applyBorder="1" applyAlignment="1">
      <alignment horizontal="left" vertical="center" wrapText="1"/>
    </xf>
    <xf numFmtId="43" fontId="10" fillId="0" borderId="0" xfId="11" applyNumberFormat="1" applyBorder="1" applyAlignment="1">
      <alignment horizontal="center" vertical="center" wrapText="1"/>
    </xf>
    <xf numFmtId="2" fontId="10" fillId="0" borderId="0" xfId="11" applyNumberFormat="1" applyBorder="1" applyAlignment="1"/>
    <xf numFmtId="43" fontId="37" fillId="3" borderId="0" xfId="11" applyNumberFormat="1" applyFont="1" applyFill="1" applyBorder="1" applyAlignment="1">
      <alignment horizontal="center" vertical="center" wrapText="1"/>
    </xf>
    <xf numFmtId="43" fontId="38" fillId="3" borderId="0" xfId="11" applyNumberFormat="1" applyFont="1" applyFill="1" applyBorder="1" applyAlignment="1">
      <alignment horizontal="center" vertical="center" wrapText="1"/>
    </xf>
    <xf numFmtId="2" fontId="14" fillId="3" borderId="0" xfId="11" applyNumberFormat="1" applyFont="1" applyFill="1" applyBorder="1" applyAlignment="1">
      <alignment vertical="center" wrapText="1"/>
    </xf>
    <xf numFmtId="0" fontId="10" fillId="3" borderId="0" xfId="11" applyFill="1" applyBorder="1" applyAlignment="1">
      <alignment horizontal="center"/>
    </xf>
    <xf numFmtId="0" fontId="10" fillId="3" borderId="0" xfId="11" applyFill="1" applyBorder="1" applyAlignment="1">
      <alignment horizontal="center"/>
    </xf>
    <xf numFmtId="0" fontId="10" fillId="3" borderId="0" xfId="11" applyFill="1" applyBorder="1" applyAlignment="1"/>
    <xf numFmtId="0" fontId="10" fillId="0" borderId="35" xfId="11" applyBorder="1" applyAlignment="1">
      <alignment horizontal="center" vertical="center"/>
    </xf>
    <xf numFmtId="0" fontId="10" fillId="0" borderId="35" xfId="11" applyBorder="1">
      <alignment vertical="center"/>
    </xf>
    <xf numFmtId="0" fontId="10" fillId="0" borderId="35" xfId="11" applyBorder="1" applyAlignment="1">
      <alignment horizontal="center" vertical="center" wrapText="1"/>
    </xf>
    <xf numFmtId="0" fontId="10" fillId="7" borderId="28" xfId="11" applyFill="1" applyBorder="1" applyAlignment="1">
      <alignment horizontal="center" vertical="center"/>
    </xf>
    <xf numFmtId="0" fontId="10" fillId="0" borderId="35" xfId="11" applyBorder="1" applyAlignment="1"/>
    <xf numFmtId="0" fontId="10" fillId="0" borderId="34" xfId="11" applyBorder="1" applyAlignment="1"/>
    <xf numFmtId="0" fontId="10" fillId="13" borderId="35" xfId="11" applyFill="1" applyBorder="1" applyAlignment="1">
      <alignment horizontal="center" vertical="center" wrapText="1"/>
    </xf>
    <xf numFmtId="0" fontId="1" fillId="0" borderId="35" xfId="8" applyBorder="1"/>
    <xf numFmtId="0" fontId="1" fillId="0" borderId="34" xfId="8" applyBorder="1"/>
    <xf numFmtId="0" fontId="1" fillId="0" borderId="18" xfId="8" applyBorder="1" applyAlignment="1">
      <alignment horizontal="left" vertical="center" wrapText="1"/>
    </xf>
    <xf numFmtId="0" fontId="1" fillId="0" borderId="35" xfId="8" applyBorder="1" applyAlignment="1">
      <alignment horizontal="left" vertical="center" wrapText="1"/>
    </xf>
    <xf numFmtId="1" fontId="10" fillId="3" borderId="18" xfId="11" applyNumberFormat="1" applyFill="1" applyBorder="1" applyAlignment="1">
      <alignment horizontal="left" vertical="center" wrapText="1"/>
    </xf>
    <xf numFmtId="1" fontId="10" fillId="3" borderId="35" xfId="11" applyNumberFormat="1" applyFill="1" applyBorder="1" applyAlignment="1">
      <alignment horizontal="left" vertical="center" wrapText="1"/>
    </xf>
    <xf numFmtId="1" fontId="10" fillId="7" borderId="18" xfId="11" applyNumberFormat="1" applyFill="1" applyBorder="1" applyAlignment="1">
      <alignment horizontal="left" vertical="center" wrapText="1"/>
    </xf>
    <xf numFmtId="0" fontId="10" fillId="7" borderId="35" xfId="11" applyFill="1" applyBorder="1" applyAlignment="1"/>
    <xf numFmtId="0" fontId="14" fillId="4" borderId="18" xfId="10" applyFont="1" applyFill="1" applyBorder="1" applyAlignment="1" applyProtection="1">
      <alignment horizontal="center" vertical="center"/>
    </xf>
    <xf numFmtId="0" fontId="10" fillId="0" borderId="4" xfId="11" applyBorder="1" applyAlignment="1"/>
    <xf numFmtId="0" fontId="10" fillId="0" borderId="5" xfId="11" applyBorder="1" applyAlignment="1"/>
    <xf numFmtId="0" fontId="10" fillId="0" borderId="5" xfId="11" applyBorder="1" applyAlignment="1">
      <alignment horizontal="center"/>
    </xf>
    <xf numFmtId="0" fontId="10" fillId="0" borderId="6" xfId="11" applyBorder="1" applyAlignment="1"/>
    <xf numFmtId="0" fontId="8" fillId="11" borderId="15" xfId="0" applyFont="1" applyFill="1" applyBorder="1" applyAlignment="1">
      <alignment horizontal="left" vertical="center" wrapText="1"/>
    </xf>
    <xf numFmtId="0" fontId="10" fillId="11" borderId="15" xfId="0" applyFont="1" applyFill="1" applyBorder="1" applyAlignment="1"/>
    <xf numFmtId="1" fontId="11" fillId="11" borderId="15" xfId="0" applyNumberFormat="1" applyFont="1" applyFill="1" applyBorder="1">
      <alignment vertical="center"/>
    </xf>
    <xf numFmtId="0" fontId="11" fillId="11" borderId="15" xfId="0" applyFont="1" applyFill="1" applyBorder="1" applyAlignment="1">
      <alignment horizontal="left" vertical="center" wrapText="1"/>
    </xf>
    <xf numFmtId="1" fontId="11" fillId="11" borderId="15" xfId="0" applyNumberFormat="1" applyFont="1" applyFill="1" applyBorder="1" applyAlignment="1">
      <alignment vertical="center" wrapText="1"/>
    </xf>
    <xf numFmtId="1" fontId="11" fillId="0" borderId="15" xfId="0" applyNumberFormat="1" applyFont="1" applyBorder="1" applyAlignment="1">
      <alignment vertical="center" wrapText="1"/>
    </xf>
    <xf numFmtId="0" fontId="10" fillId="0" borderId="15" xfId="10" applyBorder="1" applyAlignment="1" applyProtection="1">
      <alignment vertical="center" wrapText="1"/>
    </xf>
    <xf numFmtId="168" fontId="0" fillId="0" borderId="0" xfId="0" applyNumberFormat="1" applyBorder="1" applyAlignment="1"/>
    <xf numFmtId="0" fontId="11" fillId="3" borderId="0" xfId="0" applyFont="1" applyFill="1" applyBorder="1" applyAlignment="1">
      <alignment vertical="center" wrapText="1"/>
    </xf>
    <xf numFmtId="1" fontId="11" fillId="0" borderId="0" xfId="0" applyNumberFormat="1" applyFont="1" applyBorder="1" applyAlignment="1">
      <alignment vertical="center" wrapText="1"/>
    </xf>
    <xf numFmtId="165" fontId="11" fillId="3" borderId="18" xfId="3" applyFont="1" applyFill="1" applyBorder="1" applyAlignment="1" applyProtection="1">
      <alignment horizontal="center" vertical="center" wrapText="1"/>
    </xf>
    <xf numFmtId="49" fontId="5" fillId="7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2" fontId="5" fillId="7" borderId="0" xfId="1" applyNumberFormat="1" applyFont="1" applyFill="1" applyBorder="1" applyAlignment="1" applyProtection="1">
      <alignment horizontal="center" vertical="center" wrapText="1"/>
    </xf>
    <xf numFmtId="4" fontId="5" fillId="7" borderId="0" xfId="0" applyNumberFormat="1" applyFont="1" applyFill="1" applyBorder="1" applyAlignment="1">
      <alignment horizontal="center" vertical="center" wrapText="1"/>
    </xf>
    <xf numFmtId="164" fontId="13" fillId="7" borderId="0" xfId="1" applyFont="1" applyFill="1" applyBorder="1" applyAlignment="1" applyProtection="1">
      <alignment horizontal="center" vertical="center"/>
    </xf>
    <xf numFmtId="164" fontId="9" fillId="7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1" applyFont="1" applyBorder="1" applyAlignment="1" applyProtection="1">
      <alignment horizontal="center" vertical="center" wrapText="1"/>
    </xf>
    <xf numFmtId="0" fontId="3" fillId="0" borderId="0" xfId="0" applyFont="1" applyBorder="1" applyAlignment="1"/>
    <xf numFmtId="164" fontId="3" fillId="0" borderId="0" xfId="1" applyFont="1" applyBorder="1" applyAlignment="1" applyProtection="1"/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/>
    <xf numFmtId="0" fontId="1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left" vertical="center"/>
    </xf>
    <xf numFmtId="4" fontId="20" fillId="0" borderId="0" xfId="0" applyNumberFormat="1" applyFont="1" applyBorder="1" applyAlignment="1"/>
    <xf numFmtId="0" fontId="10" fillId="0" borderId="0" xfId="0" applyFont="1" applyBorder="1" applyAlignment="1">
      <alignment horizontal="left" vertical="center"/>
    </xf>
    <xf numFmtId="14" fontId="10" fillId="0" borderId="0" xfId="0" applyNumberFormat="1" applyFont="1" applyBorder="1" applyAlignment="1"/>
    <xf numFmtId="4" fontId="10" fillId="0" borderId="0" xfId="0" applyNumberFormat="1" applyFont="1" applyBorder="1" applyAlignment="1"/>
    <xf numFmtId="0" fontId="25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2">
    <cellStyle name="Moeda" xfId="3" builtinId="4"/>
    <cellStyle name="Moeda 4" xfId="7" xr:uid="{00000000-0005-0000-0000-000001000000}"/>
    <cellStyle name="Normal" xfId="0" builtinId="0"/>
    <cellStyle name="Normal 2" xfId="4" xr:uid="{00000000-0005-0000-0000-000003000000}"/>
    <cellStyle name="Normal 2 2" xfId="9" xr:uid="{B1C3A9BF-A659-47A2-B658-1721354FEBF0}"/>
    <cellStyle name="Normal 2 3" xfId="11" xr:uid="{F46E9883-CD5E-482D-9C60-7730E1AF54B1}"/>
    <cellStyle name="Normal 3" xfId="8" xr:uid="{12A61604-8FD1-4991-A890-DB48BF89D175}"/>
    <cellStyle name="Normal 5" xfId="5" xr:uid="{00000000-0005-0000-0000-000004000000}"/>
    <cellStyle name="Normal 5 2" xfId="10" xr:uid="{A8E423BA-0AC1-424E-A24F-64A2BD74F5BF}"/>
    <cellStyle name="Normal_Plan1" xfId="6" xr:uid="{00000000-0005-0000-0000-000005000000}"/>
    <cellStyle name="Porcentagem" xfId="2" builtinId="5"/>
    <cellStyle name="Vírgula" xfId="1" builtinId="3"/>
  </cellStyles>
  <dxfs count="4">
    <dxf>
      <font>
        <sz val="10"/>
        <color indexed="51"/>
      </font>
    </dxf>
    <dxf>
      <font>
        <sz val="10"/>
        <color indexed="52"/>
      </font>
    </dxf>
    <dxf>
      <font>
        <sz val="10"/>
        <color indexed="51"/>
      </font>
    </dxf>
    <dxf>
      <font>
        <sz val="10"/>
        <color indexed="52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108140</xdr:rowOff>
    </xdr:from>
    <xdr:to>
      <xdr:col>2</xdr:col>
      <xdr:colOff>2486349</xdr:colOff>
      <xdr:row>1</xdr:row>
      <xdr:rowOff>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1943FB6-DA5A-5313-E107-9617358C9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08140"/>
          <a:ext cx="3495022" cy="761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136920</xdr:colOff>
      <xdr:row>2</xdr:row>
      <xdr:rowOff>7940</xdr:rowOff>
    </xdr:from>
    <xdr:to>
      <xdr:col>3</xdr:col>
      <xdr:colOff>1612546</xdr:colOff>
      <xdr:row>7</xdr:row>
      <xdr:rowOff>71437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86781E-91CC-4CFF-AD29-FC36D845D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570" y="341315"/>
          <a:ext cx="4018801" cy="8731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123825</xdr:rowOff>
    </xdr:from>
    <xdr:to>
      <xdr:col>3</xdr:col>
      <xdr:colOff>312084</xdr:colOff>
      <xdr:row>2</xdr:row>
      <xdr:rowOff>218885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AB944D-9B5B-4010-8069-3F39DAD7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23825"/>
          <a:ext cx="3495022" cy="761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1837672</xdr:colOff>
      <xdr:row>3</xdr:row>
      <xdr:rowOff>295085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07A76DA-028E-4A55-9F1B-61A4E7EC6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61925"/>
          <a:ext cx="3495022" cy="7618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MEMO-US%20BOTAFOGO.xlsx" TargetMode="External"/><Relationship Id="rId1" Type="http://schemas.openxmlformats.org/officeDocument/2006/relationships/externalLinkPath" Target="file:///C:\Users\Admin\Documents\MEMO-US%20BOTAFOG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Vc8-Mzk30H8iet8dX8mih3DzQSVkrTI\Estrutura%20de%20Pastas\EMOP\COMP0225.xlsx" TargetMode="External"/><Relationship Id="rId1" Type="http://schemas.openxmlformats.org/officeDocument/2006/relationships/externalLinkPath" Target="/.shortcut-targets-by-id/1TVc8-Mzk30H8iet8dX8mih3DzQSVkrTI/Estrutura%20de%20Pastas/EMOP/COMP02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ÓRIA DE CÁLCULO"/>
    </sheetNames>
    <sheetDataSet>
      <sheetData sheetId="0">
        <row r="17">
          <cell r="H17">
            <v>3</v>
          </cell>
        </row>
        <row r="24">
          <cell r="H24">
            <v>27.791999999999998</v>
          </cell>
        </row>
        <row r="30">
          <cell r="H30">
            <v>40.872</v>
          </cell>
        </row>
        <row r="38">
          <cell r="G38">
            <v>212.82810000000003</v>
          </cell>
        </row>
        <row r="50">
          <cell r="H50">
            <v>13.865000000000002</v>
          </cell>
        </row>
        <row r="56">
          <cell r="G56">
            <v>3.85</v>
          </cell>
        </row>
        <row r="68">
          <cell r="H68">
            <v>50.4</v>
          </cell>
        </row>
        <row r="76">
          <cell r="H76">
            <v>10.200000000000001</v>
          </cell>
        </row>
        <row r="100">
          <cell r="H100">
            <v>19.000000000000007</v>
          </cell>
        </row>
        <row r="109">
          <cell r="H109">
            <v>65.602000000000004</v>
          </cell>
        </row>
        <row r="133">
          <cell r="G133">
            <v>91.789999999999992</v>
          </cell>
        </row>
        <row r="141">
          <cell r="H141">
            <v>3.7050000000000001</v>
          </cell>
        </row>
        <row r="186">
          <cell r="H186">
            <v>466.48060000000004</v>
          </cell>
        </row>
        <row r="200">
          <cell r="H200">
            <v>143.02000000000001</v>
          </cell>
        </row>
        <row r="206">
          <cell r="H206">
            <v>27.791999999999998</v>
          </cell>
        </row>
        <row r="215">
          <cell r="H215">
            <v>563.00600000000009</v>
          </cell>
        </row>
        <row r="221">
          <cell r="G221">
            <v>13.895999999999999</v>
          </cell>
        </row>
        <row r="232">
          <cell r="H232">
            <v>27.791999999999998</v>
          </cell>
        </row>
        <row r="239">
          <cell r="H239">
            <v>1.7999999999999998</v>
          </cell>
        </row>
        <row r="245">
          <cell r="H245">
            <v>1</v>
          </cell>
        </row>
        <row r="252">
          <cell r="H252">
            <v>39</v>
          </cell>
        </row>
        <row r="282">
          <cell r="H282">
            <v>210.02810000000002</v>
          </cell>
        </row>
        <row r="288">
          <cell r="F288">
            <v>210.02810000000002</v>
          </cell>
        </row>
        <row r="296">
          <cell r="G296">
            <v>2</v>
          </cell>
        </row>
        <row r="303">
          <cell r="G303">
            <v>2</v>
          </cell>
        </row>
        <row r="310">
          <cell r="G310">
            <v>15</v>
          </cell>
        </row>
        <row r="318">
          <cell r="G318">
            <v>3</v>
          </cell>
        </row>
        <row r="324">
          <cell r="G324">
            <v>11</v>
          </cell>
        </row>
        <row r="331">
          <cell r="H331">
            <v>1.2</v>
          </cell>
        </row>
        <row r="338">
          <cell r="H338">
            <v>27.791699999999999</v>
          </cell>
        </row>
        <row r="347">
          <cell r="H347">
            <v>5</v>
          </cell>
        </row>
        <row r="353">
          <cell r="G353">
            <v>1</v>
          </cell>
        </row>
        <row r="369">
          <cell r="H369">
            <v>15</v>
          </cell>
        </row>
        <row r="375">
          <cell r="H375">
            <v>5</v>
          </cell>
        </row>
        <row r="381">
          <cell r="H381">
            <v>87.45</v>
          </cell>
        </row>
        <row r="400">
          <cell r="H400">
            <v>124</v>
          </cell>
        </row>
        <row r="406">
          <cell r="H406">
            <v>5.4146666666666663</v>
          </cell>
        </row>
        <row r="416">
          <cell r="H416">
            <v>7.25</v>
          </cell>
        </row>
        <row r="424">
          <cell r="H424">
            <v>24</v>
          </cell>
        </row>
        <row r="431">
          <cell r="H431">
            <v>7.2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0225"/>
    </sheetNames>
    <sheetDataSet>
      <sheetData sheetId="0">
        <row r="164880">
          <cell r="C164880" t="str">
            <v>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61"/>
  <sheetViews>
    <sheetView showGridLines="0" showZeros="0" showWhiteSpace="0" view="pageBreakPreview" zoomScale="130" zoomScaleNormal="100" zoomScaleSheetLayoutView="130" workbookViewId="0">
      <selection activeCell="J16" sqref="J16"/>
    </sheetView>
  </sheetViews>
  <sheetFormatPr defaultColWidth="9" defaultRowHeight="12.75" x14ac:dyDescent="0.2"/>
  <cols>
    <col min="1" max="1" width="4.7109375" style="1" customWidth="1"/>
    <col min="2" max="2" width="11.85546875" style="1" customWidth="1"/>
    <col min="3" max="3" width="73.5703125" style="1" customWidth="1"/>
    <col min="4" max="4" width="9.140625" style="1" customWidth="1"/>
    <col min="5" max="5" width="12.28515625" style="1" customWidth="1"/>
    <col min="6" max="6" width="12.28515625" style="1" hidden="1" customWidth="1"/>
    <col min="7" max="7" width="12.28515625" style="2" customWidth="1"/>
    <col min="8" max="8" width="14.140625" style="2" customWidth="1"/>
    <col min="9" max="9" width="15" style="1" customWidth="1"/>
    <col min="10" max="10" width="42" customWidth="1"/>
    <col min="11" max="11" width="16.85546875" customWidth="1"/>
    <col min="12" max="13" width="15.42578125" customWidth="1"/>
    <col min="14" max="14" width="10.85546875" customWidth="1"/>
    <col min="15" max="18" width="10" customWidth="1"/>
    <col min="19" max="19" width="18.28515625" customWidth="1"/>
    <col min="20" max="20" width="10" customWidth="1"/>
    <col min="21" max="21" width="12.140625" customWidth="1"/>
    <col min="22" max="22" width="16.5703125" customWidth="1"/>
    <col min="23" max="257" width="10" customWidth="1"/>
  </cols>
  <sheetData>
    <row r="1" spans="1:256" ht="68.25" customHeight="1" x14ac:dyDescent="0.2">
      <c r="A1" s="317"/>
      <c r="B1" s="318"/>
      <c r="C1" s="315"/>
      <c r="D1" s="315"/>
      <c r="E1" s="315"/>
      <c r="F1" s="315"/>
      <c r="G1" s="315"/>
      <c r="H1" s="315"/>
      <c r="I1" s="316"/>
    </row>
    <row r="2" spans="1:256" ht="17.25" customHeight="1" thickBot="1" x14ac:dyDescent="0.25">
      <c r="A2" s="325" t="s">
        <v>117</v>
      </c>
      <c r="B2" s="326"/>
      <c r="C2" s="326"/>
      <c r="D2" s="326"/>
      <c r="E2" s="326"/>
      <c r="F2" s="326"/>
      <c r="G2" s="326"/>
      <c r="H2" s="326"/>
      <c r="I2" s="327"/>
    </row>
    <row r="3" spans="1:256" ht="16.5" customHeight="1" x14ac:dyDescent="0.2">
      <c r="A3" s="333" t="s">
        <v>105</v>
      </c>
      <c r="B3" s="334"/>
      <c r="C3" s="334"/>
      <c r="D3" s="334"/>
      <c r="E3" s="335"/>
      <c r="F3" s="4"/>
      <c r="G3" s="340"/>
      <c r="H3" s="341"/>
      <c r="I3" s="342"/>
      <c r="K3" s="114"/>
    </row>
    <row r="4" spans="1:256" ht="20.100000000000001" customHeight="1" x14ac:dyDescent="0.2">
      <c r="A4" s="338" t="s">
        <v>235</v>
      </c>
      <c r="B4" s="336"/>
      <c r="C4" s="336"/>
      <c r="D4" s="336"/>
      <c r="E4" s="339"/>
      <c r="F4" s="5"/>
      <c r="G4" s="319" t="s">
        <v>246</v>
      </c>
      <c r="H4" s="320"/>
      <c r="I4" s="321"/>
      <c r="K4" s="115"/>
    </row>
    <row r="5" spans="1:256" ht="16.5" customHeight="1" x14ac:dyDescent="0.2">
      <c r="A5" s="338" t="s">
        <v>238</v>
      </c>
      <c r="B5" s="336"/>
      <c r="C5" s="336"/>
      <c r="D5" s="339"/>
      <c r="E5" s="320"/>
      <c r="F5" s="336"/>
      <c r="G5" s="336"/>
      <c r="H5" s="336"/>
      <c r="I5" s="337"/>
    </row>
    <row r="6" spans="1:256" ht="16.5" customHeight="1" x14ac:dyDescent="0.2">
      <c r="A6" s="322" t="s">
        <v>116</v>
      </c>
      <c r="B6" s="323"/>
      <c r="C6" s="323"/>
      <c r="D6" s="324"/>
      <c r="E6" s="6"/>
      <c r="F6" s="3"/>
      <c r="G6" s="7"/>
      <c r="H6" s="8" t="s">
        <v>119</v>
      </c>
      <c r="I6" s="9">
        <f>BDI!E8</f>
        <v>0.2</v>
      </c>
    </row>
    <row r="7" spans="1:256" ht="33.75" customHeight="1" x14ac:dyDescent="0.2">
      <c r="A7" s="10" t="s">
        <v>0</v>
      </c>
      <c r="B7" s="11" t="s">
        <v>4</v>
      </c>
      <c r="C7" s="11" t="s">
        <v>1</v>
      </c>
      <c r="D7" s="11" t="s">
        <v>3</v>
      </c>
      <c r="E7" s="11" t="s">
        <v>2</v>
      </c>
      <c r="F7" s="11"/>
      <c r="G7" s="154" t="s">
        <v>161</v>
      </c>
      <c r="H7" s="12" t="s">
        <v>162</v>
      </c>
      <c r="I7" s="13" t="s">
        <v>5</v>
      </c>
    </row>
    <row r="8" spans="1:256" ht="18" customHeight="1" x14ac:dyDescent="0.2">
      <c r="A8" s="150" t="s">
        <v>9</v>
      </c>
      <c r="B8" s="15"/>
      <c r="C8" s="16" t="s">
        <v>10</v>
      </c>
      <c r="D8" s="17"/>
      <c r="E8" s="18"/>
      <c r="F8" s="18"/>
      <c r="G8" s="19"/>
      <c r="H8" s="19"/>
      <c r="I8" s="20"/>
    </row>
    <row r="9" spans="1:256" ht="25.5" customHeight="1" x14ac:dyDescent="0.2">
      <c r="A9" s="159" t="s">
        <v>6</v>
      </c>
      <c r="B9" s="22" t="s">
        <v>40</v>
      </c>
      <c r="C9" s="151" t="s">
        <v>118</v>
      </c>
      <c r="D9" s="21" t="s">
        <v>25</v>
      </c>
      <c r="E9" s="22">
        <f>'[1]MEMÓRIA DE CÁLCULO'!$H$17</f>
        <v>3</v>
      </c>
      <c r="F9" s="22">
        <v>339.79</v>
      </c>
      <c r="G9" s="126">
        <v>237.49</v>
      </c>
      <c r="H9" s="23">
        <f>(G9*$I$6)+G9</f>
        <v>284.988</v>
      </c>
      <c r="I9" s="24">
        <f>ROUND(E9*H9,2)</f>
        <v>854.96</v>
      </c>
      <c r="J9" s="162"/>
      <c r="K9" s="146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</row>
    <row r="10" spans="1:256" ht="18" customHeight="1" thickBot="1" x14ac:dyDescent="0.25">
      <c r="A10" s="26"/>
      <c r="B10" s="27"/>
      <c r="C10" s="28" t="s">
        <v>19</v>
      </c>
      <c r="D10" s="29"/>
      <c r="E10" s="30"/>
      <c r="F10" s="30"/>
      <c r="G10" s="31"/>
      <c r="H10" s="31"/>
      <c r="I10" s="32">
        <f>SUM(I9:I9)</f>
        <v>854.96</v>
      </c>
      <c r="J10" s="145"/>
    </row>
    <row r="11" spans="1:256" ht="18" customHeight="1" x14ac:dyDescent="0.2">
      <c r="A11" s="14" t="s">
        <v>11</v>
      </c>
      <c r="B11" s="15"/>
      <c r="C11" s="16" t="s">
        <v>135</v>
      </c>
      <c r="D11" s="17"/>
      <c r="E11" s="18"/>
      <c r="F11" s="18"/>
      <c r="G11" s="19"/>
      <c r="H11" s="19"/>
      <c r="I11" s="20" t="s">
        <v>223</v>
      </c>
    </row>
    <row r="12" spans="1:256" ht="21" customHeight="1" x14ac:dyDescent="0.2">
      <c r="A12" s="159" t="s">
        <v>26</v>
      </c>
      <c r="B12" s="22" t="s">
        <v>41</v>
      </c>
      <c r="C12" s="151" t="s">
        <v>158</v>
      </c>
      <c r="D12" s="21" t="s">
        <v>25</v>
      </c>
      <c r="E12" s="22">
        <f>'[1]MEMÓRIA DE CÁLCULO'!$H$24</f>
        <v>27.791999999999998</v>
      </c>
      <c r="F12" s="22"/>
      <c r="G12" s="126">
        <v>28.07</v>
      </c>
      <c r="H12" s="23">
        <f>(G12*$I$6)+G12</f>
        <v>33.683999999999997</v>
      </c>
      <c r="I12" s="24">
        <f>ROUND(E12*H12,2)</f>
        <v>936.15</v>
      </c>
      <c r="J12" s="175" t="s">
        <v>159</v>
      </c>
    </row>
    <row r="13" spans="1:256" ht="29.25" customHeight="1" x14ac:dyDescent="0.2">
      <c r="A13" s="159" t="s">
        <v>130</v>
      </c>
      <c r="B13" s="22" t="s">
        <v>45</v>
      </c>
      <c r="C13" s="151" t="s">
        <v>160</v>
      </c>
      <c r="D13" s="21" t="s">
        <v>25</v>
      </c>
      <c r="E13" s="22">
        <f>'[1]MEMÓRIA DE CÁLCULO'!$H$30</f>
        <v>40.872</v>
      </c>
      <c r="F13" s="22"/>
      <c r="G13" s="126">
        <v>18.71</v>
      </c>
      <c r="H13" s="23">
        <f t="shared" ref="H13:H17" si="0">(G13*$I$6)+G13</f>
        <v>22.452000000000002</v>
      </c>
      <c r="I13" s="24">
        <f t="shared" ref="I13:I17" si="1">ROUND(E13*H13,2)</f>
        <v>917.66</v>
      </c>
      <c r="J13" s="161" t="s">
        <v>150</v>
      </c>
    </row>
    <row r="14" spans="1:256" ht="36.75" customHeight="1" x14ac:dyDescent="0.2">
      <c r="A14" s="159" t="s">
        <v>131</v>
      </c>
      <c r="B14" s="22" t="s">
        <v>42</v>
      </c>
      <c r="C14" s="151" t="s">
        <v>183</v>
      </c>
      <c r="D14" s="21" t="s">
        <v>25</v>
      </c>
      <c r="E14" s="22">
        <f>'[1]MEMÓRIA DE CÁLCULO'!$G$38</f>
        <v>212.82810000000003</v>
      </c>
      <c r="F14" s="22"/>
      <c r="G14" s="126">
        <v>18.27</v>
      </c>
      <c r="H14" s="23">
        <f t="shared" si="0"/>
        <v>21.923999999999999</v>
      </c>
      <c r="I14" s="24">
        <f t="shared" si="1"/>
        <v>4666.04</v>
      </c>
      <c r="J14" s="161"/>
    </row>
    <row r="15" spans="1:256" ht="27.75" customHeight="1" x14ac:dyDescent="0.2">
      <c r="A15" s="159" t="s">
        <v>184</v>
      </c>
      <c r="B15" s="22" t="s">
        <v>44</v>
      </c>
      <c r="C15" s="151" t="s">
        <v>222</v>
      </c>
      <c r="D15" s="119" t="s">
        <v>81</v>
      </c>
      <c r="E15" s="22">
        <v>2</v>
      </c>
      <c r="F15" s="22"/>
      <c r="G15" s="126">
        <v>26.48</v>
      </c>
      <c r="H15" s="23">
        <f t="shared" si="0"/>
        <v>31.776</v>
      </c>
      <c r="I15" s="24">
        <f t="shared" si="1"/>
        <v>63.55</v>
      </c>
      <c r="J15" s="161"/>
    </row>
    <row r="16" spans="1:256" ht="30" customHeight="1" x14ac:dyDescent="0.2">
      <c r="A16" s="159" t="s">
        <v>239</v>
      </c>
      <c r="B16" s="22" t="s">
        <v>240</v>
      </c>
      <c r="C16" s="151" t="s">
        <v>241</v>
      </c>
      <c r="D16" s="119" t="s">
        <v>242</v>
      </c>
      <c r="E16" s="22">
        <f>'[1]MEMÓRIA DE CÁLCULO'!$H$50</f>
        <v>13.865000000000002</v>
      </c>
      <c r="F16" s="22"/>
      <c r="G16" s="126">
        <v>95.86</v>
      </c>
      <c r="H16" s="23">
        <f t="shared" si="0"/>
        <v>115.032</v>
      </c>
      <c r="I16" s="24">
        <f t="shared" si="1"/>
        <v>1594.92</v>
      </c>
      <c r="J16" s="153"/>
    </row>
    <row r="17" spans="1:256" ht="36.75" customHeight="1" x14ac:dyDescent="0.2">
      <c r="A17" s="159" t="s">
        <v>247</v>
      </c>
      <c r="B17" s="22" t="s">
        <v>248</v>
      </c>
      <c r="C17" s="151" t="s">
        <v>249</v>
      </c>
      <c r="D17" s="119" t="s">
        <v>39</v>
      </c>
      <c r="E17" s="22">
        <f>'[1]MEMÓRIA DE CÁLCULO'!$G$56</f>
        <v>3.85</v>
      </c>
      <c r="F17" s="22"/>
      <c r="G17" s="126">
        <v>361.22</v>
      </c>
      <c r="H17" s="23">
        <f t="shared" si="0"/>
        <v>433.46400000000006</v>
      </c>
      <c r="I17" s="24">
        <f t="shared" si="1"/>
        <v>1668.84</v>
      </c>
      <c r="J17" s="153"/>
    </row>
    <row r="18" spans="1:256" ht="18" customHeight="1" x14ac:dyDescent="0.2">
      <c r="A18" s="26"/>
      <c r="B18" s="27"/>
      <c r="C18" s="28" t="s">
        <v>19</v>
      </c>
      <c r="D18" s="29"/>
      <c r="E18" s="30"/>
      <c r="F18" s="30"/>
      <c r="G18" s="31"/>
      <c r="H18" s="31"/>
      <c r="I18" s="32">
        <f>SUM(I12:I17)</f>
        <v>9847.16</v>
      </c>
      <c r="J18" s="145"/>
    </row>
    <row r="19" spans="1:256" ht="13.5" thickBot="1" x14ac:dyDescent="0.25">
      <c r="A19" s="123"/>
      <c r="B19" s="124"/>
      <c r="C19" s="124"/>
      <c r="D19" s="124"/>
      <c r="E19" s="124"/>
      <c r="F19" s="124"/>
      <c r="G19" s="124"/>
      <c r="H19" s="124"/>
      <c r="I19" s="125"/>
    </row>
    <row r="20" spans="1:256" ht="18" customHeight="1" x14ac:dyDescent="0.2">
      <c r="A20" s="14" t="s">
        <v>12</v>
      </c>
      <c r="B20" s="15"/>
      <c r="C20" s="16" t="s">
        <v>136</v>
      </c>
      <c r="D20" s="17"/>
      <c r="E20" s="18"/>
      <c r="F20" s="18"/>
      <c r="G20" s="19"/>
      <c r="H20" s="19"/>
      <c r="I20" s="20"/>
    </row>
    <row r="21" spans="1:256" s="25" customFormat="1" ht="24" customHeight="1" x14ac:dyDescent="0.2">
      <c r="A21" s="159" t="s">
        <v>28</v>
      </c>
      <c r="B21" s="117" t="s">
        <v>113</v>
      </c>
      <c r="C21" s="155" t="s">
        <v>112</v>
      </c>
      <c r="D21" s="119" t="s">
        <v>23</v>
      </c>
      <c r="E21" s="22">
        <f>'[1]MEMÓRIA DE CÁLCULO'!$H$68</f>
        <v>50.4</v>
      </c>
      <c r="F21" s="22">
        <v>14</v>
      </c>
      <c r="G21" s="126">
        <v>8.14</v>
      </c>
      <c r="H21" s="23">
        <f t="shared" ref="H21:H26" si="2">(G21*$I$6)+G21</f>
        <v>9.7680000000000007</v>
      </c>
      <c r="I21" s="24">
        <f t="shared" ref="I21:I26" si="3">ROUND(E21*H21,2)</f>
        <v>492.31</v>
      </c>
      <c r="J21" s="164" t="s">
        <v>112</v>
      </c>
    </row>
    <row r="22" spans="1:256" s="25" customFormat="1" ht="22.5" customHeight="1" x14ac:dyDescent="0.2">
      <c r="A22" s="159" t="s">
        <v>18</v>
      </c>
      <c r="B22" s="117" t="s">
        <v>115</v>
      </c>
      <c r="C22" s="155" t="s">
        <v>114</v>
      </c>
      <c r="D22" s="119" t="s">
        <v>23</v>
      </c>
      <c r="E22" s="22">
        <f>'[1]MEMÓRIA DE CÁLCULO'!$H$76</f>
        <v>10.200000000000001</v>
      </c>
      <c r="F22" s="22"/>
      <c r="G22" s="126">
        <v>29.81</v>
      </c>
      <c r="H22" s="23">
        <f t="shared" si="2"/>
        <v>35.771999999999998</v>
      </c>
      <c r="I22" s="24">
        <f t="shared" si="3"/>
        <v>364.87</v>
      </c>
      <c r="J22" s="161" t="s">
        <v>168</v>
      </c>
    </row>
    <row r="23" spans="1:256" s="25" customFormat="1" ht="37.5" customHeight="1" x14ac:dyDescent="0.2">
      <c r="A23" s="159" t="s">
        <v>20</v>
      </c>
      <c r="B23" s="117" t="s">
        <v>54</v>
      </c>
      <c r="C23" s="155" t="s">
        <v>163</v>
      </c>
      <c r="D23" s="119" t="s">
        <v>23</v>
      </c>
      <c r="E23" s="22">
        <f>'[1]MEMÓRIA DE CÁLCULO'!$H$100</f>
        <v>19.000000000000007</v>
      </c>
      <c r="F23" s="22">
        <v>112.71</v>
      </c>
      <c r="G23" s="126">
        <v>54.83</v>
      </c>
      <c r="H23" s="23">
        <f t="shared" si="2"/>
        <v>65.795999999999992</v>
      </c>
      <c r="I23" s="24">
        <f t="shared" si="3"/>
        <v>1250.1199999999999</v>
      </c>
      <c r="J23" s="602" t="s">
        <v>167</v>
      </c>
    </row>
    <row r="24" spans="1:256" s="25" customFormat="1" ht="25.5" customHeight="1" x14ac:dyDescent="0.2">
      <c r="A24" s="159" t="s">
        <v>133</v>
      </c>
      <c r="B24" s="117" t="s">
        <v>62</v>
      </c>
      <c r="C24" s="155" t="s">
        <v>166</v>
      </c>
      <c r="D24" s="119" t="s">
        <v>25</v>
      </c>
      <c r="E24" s="22">
        <f>'[1]MEMÓRIA DE CÁLCULO'!$H$109</f>
        <v>65.602000000000004</v>
      </c>
      <c r="F24" s="609">
        <v>17.53</v>
      </c>
      <c r="G24" s="126">
        <v>17.91</v>
      </c>
      <c r="H24" s="23">
        <f t="shared" si="2"/>
        <v>21.492000000000001</v>
      </c>
      <c r="I24" s="24">
        <f t="shared" si="3"/>
        <v>1409.92</v>
      </c>
      <c r="J24" s="602" t="s">
        <v>199</v>
      </c>
    </row>
    <row r="25" spans="1:256" s="25" customFormat="1" ht="33.75" x14ac:dyDescent="0.2">
      <c r="A25" s="159" t="s">
        <v>134</v>
      </c>
      <c r="B25" s="117" t="s">
        <v>212</v>
      </c>
      <c r="C25" s="155" t="s">
        <v>213</v>
      </c>
      <c r="D25" s="119" t="s">
        <v>25</v>
      </c>
      <c r="E25" s="22">
        <f>'[1]MEMÓRIA DE CÁLCULO'!$G$133</f>
        <v>91.789999999999992</v>
      </c>
      <c r="F25" s="22"/>
      <c r="G25" s="126">
        <v>19.09</v>
      </c>
      <c r="H25" s="23">
        <f t="shared" si="2"/>
        <v>22.908000000000001</v>
      </c>
      <c r="I25" s="24">
        <f t="shared" si="3"/>
        <v>2102.73</v>
      </c>
      <c r="J25" s="602" t="s">
        <v>164</v>
      </c>
    </row>
    <row r="26" spans="1:256" s="25" customFormat="1" x14ac:dyDescent="0.2">
      <c r="A26" s="159" t="s">
        <v>165</v>
      </c>
      <c r="B26" s="117" t="s">
        <v>220</v>
      </c>
      <c r="C26" s="610" t="s">
        <v>221</v>
      </c>
      <c r="D26" s="119" t="s">
        <v>25</v>
      </c>
      <c r="E26" s="22">
        <f>'[1]MEMÓRIA DE CÁLCULO'!$H$141</f>
        <v>3.7050000000000001</v>
      </c>
      <c r="F26" s="22"/>
      <c r="G26" s="126">
        <v>324</v>
      </c>
      <c r="H26" s="23">
        <f t="shared" si="2"/>
        <v>388.8</v>
      </c>
      <c r="I26" s="24">
        <f t="shared" si="3"/>
        <v>1440.5</v>
      </c>
      <c r="J26" s="163"/>
    </row>
    <row r="27" spans="1:256" s="34" customFormat="1" ht="18" customHeight="1" x14ac:dyDescent="0.2">
      <c r="A27" s="26"/>
      <c r="B27" s="27"/>
      <c r="C27" s="28" t="s">
        <v>19</v>
      </c>
      <c r="D27" s="29"/>
      <c r="E27" s="30"/>
      <c r="F27" s="30"/>
      <c r="G27" s="31"/>
      <c r="H27" s="31"/>
      <c r="I27" s="32">
        <f>SUM(I21:I26)</f>
        <v>7060.4500000000007</v>
      </c>
      <c r="J27" s="145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x14ac:dyDescent="0.2">
      <c r="A28" s="312"/>
      <c r="B28" s="313"/>
      <c r="C28" s="313"/>
      <c r="D28" s="313"/>
      <c r="E28" s="313"/>
      <c r="F28" s="313"/>
      <c r="G28" s="313"/>
      <c r="H28" s="313"/>
      <c r="I28" s="314"/>
    </row>
    <row r="29" spans="1:256" ht="18" customHeight="1" x14ac:dyDescent="0.2">
      <c r="A29" s="35" t="s">
        <v>13</v>
      </c>
      <c r="B29" s="36"/>
      <c r="C29" s="37" t="s">
        <v>142</v>
      </c>
      <c r="D29" s="38"/>
      <c r="E29" s="39"/>
      <c r="F29" s="39"/>
      <c r="G29" s="40"/>
      <c r="H29" s="40"/>
      <c r="I29" s="41"/>
    </row>
    <row r="30" spans="1:256" s="42" customFormat="1" ht="51.75" customHeight="1" x14ac:dyDescent="0.2">
      <c r="A30" s="68" t="s">
        <v>7</v>
      </c>
      <c r="B30" s="43" t="s">
        <v>63</v>
      </c>
      <c r="C30" s="611" t="s">
        <v>178</v>
      </c>
      <c r="D30" s="44" t="s">
        <v>25</v>
      </c>
      <c r="E30" s="45">
        <f>'[1]MEMÓRIA DE CÁLCULO'!$H$186</f>
        <v>466.48060000000004</v>
      </c>
      <c r="F30" s="45">
        <v>156.15</v>
      </c>
      <c r="G30" s="126">
        <v>10.42</v>
      </c>
      <c r="H30" s="46">
        <f t="shared" ref="H30:H34" si="4">(G30*$I$6)+G30</f>
        <v>12.504</v>
      </c>
      <c r="I30" s="612">
        <f t="shared" ref="I30:I38" si="5">ROUND(E30*H30,2)</f>
        <v>5832.87</v>
      </c>
      <c r="J30" s="603" t="s">
        <v>179</v>
      </c>
    </row>
    <row r="31" spans="1:256" s="42" customFormat="1" ht="51" customHeight="1" x14ac:dyDescent="0.2">
      <c r="A31" s="68" t="s">
        <v>83</v>
      </c>
      <c r="B31" s="47" t="s">
        <v>61</v>
      </c>
      <c r="C31" s="48" t="s">
        <v>176</v>
      </c>
      <c r="D31" s="44" t="s">
        <v>25</v>
      </c>
      <c r="E31" s="45">
        <f>'[1]MEMÓRIA DE CÁLCULO'!$H$200</f>
        <v>143.02000000000001</v>
      </c>
      <c r="F31" s="45">
        <v>39.22</v>
      </c>
      <c r="G31" s="126">
        <v>10.61</v>
      </c>
      <c r="H31" s="46">
        <f t="shared" si="4"/>
        <v>12.731999999999999</v>
      </c>
      <c r="I31" s="612">
        <f t="shared" si="5"/>
        <v>1820.93</v>
      </c>
      <c r="J31" s="604" t="s">
        <v>169</v>
      </c>
    </row>
    <row r="32" spans="1:256" s="42" customFormat="1" ht="42.75" customHeight="1" x14ac:dyDescent="0.2">
      <c r="A32" s="68" t="s">
        <v>88</v>
      </c>
      <c r="B32" s="47" t="s">
        <v>60</v>
      </c>
      <c r="C32" s="48" t="s">
        <v>181</v>
      </c>
      <c r="D32" s="44" t="s">
        <v>25</v>
      </c>
      <c r="E32" s="45">
        <f>'[1]MEMÓRIA DE CÁLCULO'!$H$206</f>
        <v>27.791999999999998</v>
      </c>
      <c r="F32" s="45"/>
      <c r="G32" s="126">
        <v>25.25</v>
      </c>
      <c r="H32" s="46">
        <f t="shared" si="4"/>
        <v>30.3</v>
      </c>
      <c r="I32" s="612">
        <f t="shared" si="5"/>
        <v>842.1</v>
      </c>
      <c r="J32" s="604" t="s">
        <v>202</v>
      </c>
    </row>
    <row r="33" spans="1:256" ht="39.75" customHeight="1" x14ac:dyDescent="0.2">
      <c r="A33" s="68" t="s">
        <v>170</v>
      </c>
      <c r="B33" s="43" t="s">
        <v>64</v>
      </c>
      <c r="C33" s="49" t="s">
        <v>234</v>
      </c>
      <c r="D33" s="44" t="s">
        <v>25</v>
      </c>
      <c r="E33" s="50">
        <f>'[1]MEMÓRIA DE CÁLCULO'!$H$215</f>
        <v>563.00600000000009</v>
      </c>
      <c r="F33" s="50">
        <v>1966.01</v>
      </c>
      <c r="G33" s="126">
        <v>35.49</v>
      </c>
      <c r="H33" s="46">
        <f t="shared" si="4"/>
        <v>42.588000000000001</v>
      </c>
      <c r="I33" s="612">
        <f t="shared" si="5"/>
        <v>23977.3</v>
      </c>
      <c r="J33" s="605" t="s">
        <v>143</v>
      </c>
    </row>
    <row r="34" spans="1:256" ht="19.5" customHeight="1" x14ac:dyDescent="0.2">
      <c r="A34" s="68" t="s">
        <v>171</v>
      </c>
      <c r="B34" s="117" t="s">
        <v>108</v>
      </c>
      <c r="C34" s="49" t="s">
        <v>107</v>
      </c>
      <c r="D34" s="160" t="s">
        <v>43</v>
      </c>
      <c r="E34" s="50">
        <f>'[1]MEMÓRIA DE CÁLCULO'!$G$221</f>
        <v>13.895999999999999</v>
      </c>
      <c r="F34" s="50"/>
      <c r="G34" s="126">
        <v>24.73</v>
      </c>
      <c r="H34" s="46">
        <f t="shared" si="4"/>
        <v>29.676000000000002</v>
      </c>
      <c r="I34" s="612">
        <f t="shared" si="5"/>
        <v>412.38</v>
      </c>
      <c r="J34" s="605" t="s">
        <v>203</v>
      </c>
    </row>
    <row r="35" spans="1:256" ht="32.25" customHeight="1" x14ac:dyDescent="0.2">
      <c r="A35" s="68" t="s">
        <v>172</v>
      </c>
      <c r="B35" s="128" t="s">
        <v>50</v>
      </c>
      <c r="C35" s="49" t="s">
        <v>201</v>
      </c>
      <c r="D35" s="44" t="s">
        <v>25</v>
      </c>
      <c r="E35" s="50">
        <f>'[1]MEMÓRIA DE CÁLCULO'!$H$232</f>
        <v>27.791999999999998</v>
      </c>
      <c r="F35" s="50"/>
      <c r="G35" s="126">
        <v>38.9</v>
      </c>
      <c r="H35" s="46">
        <f t="shared" ref="H35:H38" si="6">(G35*$I$6)+G35</f>
        <v>46.68</v>
      </c>
      <c r="I35" s="612">
        <f t="shared" si="5"/>
        <v>1297.33</v>
      </c>
      <c r="J35" s="605" t="s">
        <v>144</v>
      </c>
    </row>
    <row r="36" spans="1:256" ht="57.75" customHeight="1" x14ac:dyDescent="0.2">
      <c r="A36" s="68" t="s">
        <v>173</v>
      </c>
      <c r="B36" s="128" t="s">
        <v>52</v>
      </c>
      <c r="C36" s="49" t="s">
        <v>180</v>
      </c>
      <c r="D36" s="44" t="s">
        <v>25</v>
      </c>
      <c r="E36" s="50">
        <f>'[1]MEMÓRIA DE CÁLCULO'!$H$239</f>
        <v>1.7999999999999998</v>
      </c>
      <c r="F36" s="50"/>
      <c r="G36" s="126">
        <v>156.88999999999999</v>
      </c>
      <c r="H36" s="46">
        <f t="shared" si="6"/>
        <v>188.26799999999997</v>
      </c>
      <c r="I36" s="612">
        <f t="shared" si="5"/>
        <v>338.88</v>
      </c>
      <c r="J36" s="605" t="s">
        <v>146</v>
      </c>
    </row>
    <row r="37" spans="1:256" ht="63" customHeight="1" x14ac:dyDescent="0.2">
      <c r="A37" s="68" t="s">
        <v>174</v>
      </c>
      <c r="B37" s="128" t="s">
        <v>51</v>
      </c>
      <c r="C37" s="49" t="s">
        <v>182</v>
      </c>
      <c r="D37" s="44" t="s">
        <v>25</v>
      </c>
      <c r="E37" s="50">
        <f>'[1]MEMÓRIA DE CÁLCULO'!$H$245</f>
        <v>1</v>
      </c>
      <c r="F37" s="50"/>
      <c r="G37" s="126">
        <v>234.55</v>
      </c>
      <c r="H37" s="46">
        <f t="shared" si="6"/>
        <v>281.46000000000004</v>
      </c>
      <c r="I37" s="612">
        <f t="shared" si="5"/>
        <v>281.45999999999998</v>
      </c>
      <c r="J37" s="605" t="s">
        <v>147</v>
      </c>
    </row>
    <row r="38" spans="1:256" ht="34.5" customHeight="1" x14ac:dyDescent="0.2">
      <c r="A38" s="68" t="s">
        <v>175</v>
      </c>
      <c r="B38" s="128" t="s">
        <v>49</v>
      </c>
      <c r="C38" s="49" t="s">
        <v>195</v>
      </c>
      <c r="D38" s="160" t="s">
        <v>23</v>
      </c>
      <c r="E38" s="50">
        <f>'[1]MEMÓRIA DE CÁLCULO'!$H$252</f>
        <v>39</v>
      </c>
      <c r="F38" s="50"/>
      <c r="G38" s="126">
        <v>100.92</v>
      </c>
      <c r="H38" s="46">
        <f t="shared" si="6"/>
        <v>121.104</v>
      </c>
      <c r="I38" s="612">
        <f t="shared" si="5"/>
        <v>4723.0600000000004</v>
      </c>
      <c r="J38" s="605" t="s">
        <v>177</v>
      </c>
    </row>
    <row r="39" spans="1:256" s="34" customFormat="1" ht="17.25" customHeight="1" x14ac:dyDescent="0.2">
      <c r="A39" s="52"/>
      <c r="B39" s="53"/>
      <c r="C39" s="28" t="s">
        <v>19</v>
      </c>
      <c r="D39" s="29"/>
      <c r="E39" s="30"/>
      <c r="F39" s="30"/>
      <c r="G39" s="30">
        <f t="shared" ref="G39" si="7">F39*(1-$K$4)</f>
        <v>0</v>
      </c>
      <c r="H39" s="31"/>
      <c r="I39" s="32">
        <f>SUM(I30:I38)</f>
        <v>39526.30999999999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x14ac:dyDescent="0.2">
      <c r="A40" s="312"/>
      <c r="B40" s="313"/>
      <c r="C40" s="313"/>
      <c r="D40" s="313"/>
      <c r="E40" s="313"/>
      <c r="F40" s="313"/>
      <c r="G40" s="313"/>
      <c r="H40" s="313"/>
      <c r="I40" s="314"/>
    </row>
    <row r="41" spans="1:256" ht="18" customHeight="1" x14ac:dyDescent="0.2">
      <c r="A41" s="35" t="s">
        <v>32</v>
      </c>
      <c r="B41" s="54"/>
      <c r="C41" s="37" t="s">
        <v>137</v>
      </c>
      <c r="D41" s="38"/>
      <c r="E41" s="39"/>
      <c r="F41" s="39"/>
      <c r="G41" s="40"/>
      <c r="H41" s="40"/>
      <c r="I41" s="41"/>
    </row>
    <row r="42" spans="1:256" ht="47.25" customHeight="1" x14ac:dyDescent="0.2">
      <c r="A42" s="68" t="s">
        <v>14</v>
      </c>
      <c r="B42" s="27" t="s">
        <v>53</v>
      </c>
      <c r="C42" s="158" t="s">
        <v>204</v>
      </c>
      <c r="D42" s="21" t="s">
        <v>25</v>
      </c>
      <c r="E42" s="22">
        <f>'[1]MEMÓRIA DE CÁLCULO'!$H$282</f>
        <v>210.02810000000002</v>
      </c>
      <c r="F42" s="22">
        <v>60.54</v>
      </c>
      <c r="G42" s="23">
        <v>98.52</v>
      </c>
      <c r="H42" s="23">
        <f>(G42*$I$6)+G42</f>
        <v>118.22399999999999</v>
      </c>
      <c r="I42" s="24">
        <f>ROUND(E42*H42,2)</f>
        <v>24830.36</v>
      </c>
      <c r="J42" s="605" t="s">
        <v>145</v>
      </c>
    </row>
    <row r="43" spans="1:256" ht="35.25" customHeight="1" x14ac:dyDescent="0.2">
      <c r="A43" s="68" t="s">
        <v>87</v>
      </c>
      <c r="B43" s="27" t="s">
        <v>47</v>
      </c>
      <c r="C43" s="158" t="s">
        <v>205</v>
      </c>
      <c r="D43" s="21" t="s">
        <v>25</v>
      </c>
      <c r="E43" s="22">
        <f>'[1]MEMÓRIA DE CÁLCULO'!$F$288</f>
        <v>210.02810000000002</v>
      </c>
      <c r="F43" s="22"/>
      <c r="G43" s="23">
        <v>40.619999999999997</v>
      </c>
      <c r="H43" s="23">
        <f>(G43*$I$6)+G43</f>
        <v>48.744</v>
      </c>
      <c r="I43" s="24">
        <f>ROUND(E43*H43,2)</f>
        <v>10237.61</v>
      </c>
      <c r="J43" s="176"/>
    </row>
    <row r="44" spans="1:256" ht="18" customHeight="1" x14ac:dyDescent="0.2">
      <c r="A44" s="26"/>
      <c r="B44" s="27"/>
      <c r="C44" s="28" t="s">
        <v>19</v>
      </c>
      <c r="D44" s="29"/>
      <c r="E44" s="30"/>
      <c r="F44" s="30"/>
      <c r="G44" s="31"/>
      <c r="H44" s="31"/>
      <c r="I44" s="32">
        <f>SUM(I42:I43)</f>
        <v>35067.97</v>
      </c>
    </row>
    <row r="45" spans="1:256" ht="18" customHeight="1" x14ac:dyDescent="0.2">
      <c r="A45" s="312"/>
      <c r="B45" s="313"/>
      <c r="C45" s="313"/>
      <c r="D45" s="313"/>
      <c r="E45" s="313"/>
      <c r="F45" s="313"/>
      <c r="G45" s="313"/>
      <c r="H45" s="313"/>
      <c r="I45" s="314"/>
    </row>
    <row r="46" spans="1:256" ht="18" customHeight="1" x14ac:dyDescent="0.2">
      <c r="A46" s="35" t="s">
        <v>15</v>
      </c>
      <c r="B46" s="54"/>
      <c r="C46" s="37" t="s">
        <v>138</v>
      </c>
      <c r="D46" s="38"/>
      <c r="E46" s="39"/>
      <c r="F46" s="39"/>
      <c r="G46" s="40"/>
      <c r="H46" s="40"/>
      <c r="I46" s="41"/>
    </row>
    <row r="47" spans="1:256" s="25" customFormat="1" ht="25.15" customHeight="1" x14ac:dyDescent="0.2">
      <c r="A47" s="68" t="s">
        <v>16</v>
      </c>
      <c r="B47" s="117" t="s">
        <v>56</v>
      </c>
      <c r="C47" s="118" t="s">
        <v>188</v>
      </c>
      <c r="D47" s="119" t="s">
        <v>39</v>
      </c>
      <c r="E47" s="22">
        <f>'[1]MEMÓRIA DE CÁLCULO'!$G$296</f>
        <v>2</v>
      </c>
      <c r="F47" s="22">
        <v>23.94</v>
      </c>
      <c r="G47" s="126">
        <v>16.079999999999998</v>
      </c>
      <c r="H47" s="23">
        <f>(G47*$I$6)+G47</f>
        <v>19.295999999999999</v>
      </c>
      <c r="I47" s="24">
        <f>ROUND(E47*H47,2)</f>
        <v>38.590000000000003</v>
      </c>
      <c r="J47" s="602" t="s">
        <v>154</v>
      </c>
      <c r="K47"/>
      <c r="L47"/>
      <c r="M47"/>
      <c r="N47"/>
      <c r="O47"/>
      <c r="P47"/>
      <c r="Q47"/>
      <c r="R47"/>
      <c r="S47"/>
      <c r="T47"/>
      <c r="U47"/>
      <c r="V47"/>
      <c r="W47"/>
    </row>
    <row r="48" spans="1:256" s="25" customFormat="1" ht="25.15" customHeight="1" x14ac:dyDescent="0.2">
      <c r="A48" s="68" t="s">
        <v>85</v>
      </c>
      <c r="B48" s="117" t="s">
        <v>57</v>
      </c>
      <c r="C48" s="118" t="s">
        <v>200</v>
      </c>
      <c r="D48" s="119" t="s">
        <v>39</v>
      </c>
      <c r="E48" s="22">
        <f>'[1]MEMÓRIA DE CÁLCULO'!$G$303</f>
        <v>2</v>
      </c>
      <c r="F48" s="22"/>
      <c r="G48" s="126">
        <v>6.7</v>
      </c>
      <c r="H48" s="23">
        <f>(G48*$I$6)+G48</f>
        <v>8.0400000000000009</v>
      </c>
      <c r="I48" s="24">
        <f>ROUND(E48*H48,2)</f>
        <v>16.079999999999998</v>
      </c>
      <c r="J48" s="602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s="25" customFormat="1" ht="28.5" customHeight="1" x14ac:dyDescent="0.2">
      <c r="A49" s="68" t="s">
        <v>185</v>
      </c>
      <c r="B49" s="117" t="s">
        <v>48</v>
      </c>
      <c r="C49" s="118" t="s">
        <v>192</v>
      </c>
      <c r="D49" s="119" t="s">
        <v>23</v>
      </c>
      <c r="E49" s="22">
        <f>'[1]MEMÓRIA DE CÁLCULO'!$G$310</f>
        <v>15</v>
      </c>
      <c r="F49" s="22">
        <v>24.94</v>
      </c>
      <c r="G49" s="126">
        <v>18.48</v>
      </c>
      <c r="H49" s="23">
        <f>(G49*$I$6)+G49</f>
        <v>22.176000000000002</v>
      </c>
      <c r="I49" s="24">
        <f>ROUND(E49*H49,2)</f>
        <v>332.64</v>
      </c>
      <c r="J49" s="602" t="s">
        <v>155</v>
      </c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s="25" customFormat="1" ht="16.5" customHeight="1" x14ac:dyDescent="0.2">
      <c r="A50" s="68" t="s">
        <v>186</v>
      </c>
      <c r="B50" s="117" t="s">
        <v>110</v>
      </c>
      <c r="C50" s="127" t="s">
        <v>109</v>
      </c>
      <c r="D50" s="119" t="s">
        <v>39</v>
      </c>
      <c r="E50" s="22">
        <f>'[1]MEMÓRIA DE CÁLCULO'!$G$318</f>
        <v>3</v>
      </c>
      <c r="F50" s="22"/>
      <c r="G50" s="126">
        <v>10.54</v>
      </c>
      <c r="H50" s="23">
        <f t="shared" ref="H50:H52" si="8">(G50*$I$6)+G50</f>
        <v>12.648</v>
      </c>
      <c r="I50" s="24">
        <f t="shared" ref="I50:I52" si="9">ROUND(E50*H50,2)</f>
        <v>37.94</v>
      </c>
      <c r="J50" s="602" t="s">
        <v>151</v>
      </c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s="25" customFormat="1" ht="28.5" customHeight="1" x14ac:dyDescent="0.2">
      <c r="A51" s="68" t="s">
        <v>196</v>
      </c>
      <c r="B51" s="117" t="s">
        <v>106</v>
      </c>
      <c r="C51" s="118" t="s">
        <v>187</v>
      </c>
      <c r="D51" s="119" t="s">
        <v>39</v>
      </c>
      <c r="E51" s="22">
        <f>'[1]MEMÓRIA DE CÁLCULO'!$G$324</f>
        <v>11</v>
      </c>
      <c r="F51" s="22"/>
      <c r="G51" s="126">
        <v>46.35</v>
      </c>
      <c r="H51" s="23">
        <f t="shared" si="8"/>
        <v>55.620000000000005</v>
      </c>
      <c r="I51" s="24">
        <f t="shared" si="9"/>
        <v>611.82000000000005</v>
      </c>
      <c r="J51" s="602" t="s">
        <v>157</v>
      </c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s="25" customFormat="1" ht="33.75" customHeight="1" x14ac:dyDescent="0.2">
      <c r="A52" s="68" t="s">
        <v>393</v>
      </c>
      <c r="B52" s="117" t="s">
        <v>394</v>
      </c>
      <c r="C52" s="118" t="s">
        <v>395</v>
      </c>
      <c r="D52" s="119" t="s">
        <v>39</v>
      </c>
      <c r="E52" s="22">
        <v>12</v>
      </c>
      <c r="F52" s="22"/>
      <c r="G52" s="126">
        <v>155.47999999999999</v>
      </c>
      <c r="H52" s="23">
        <f t="shared" si="8"/>
        <v>186.57599999999999</v>
      </c>
      <c r="I52" s="24">
        <f t="shared" si="9"/>
        <v>2238.91</v>
      </c>
      <c r="J52" s="503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s="25" customFormat="1" ht="18" customHeight="1" x14ac:dyDescent="0.2">
      <c r="A53" s="26"/>
      <c r="B53" s="27"/>
      <c r="C53" s="28" t="s">
        <v>19</v>
      </c>
      <c r="D53" s="29"/>
      <c r="E53" s="30"/>
      <c r="F53" s="30"/>
      <c r="G53" s="31"/>
      <c r="H53" s="31"/>
      <c r="I53" s="32">
        <f>SUM(I47:I52)</f>
        <v>3275.98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</row>
    <row r="54" spans="1:23" s="25" customFormat="1" x14ac:dyDescent="0.2">
      <c r="A54" s="312"/>
      <c r="B54" s="313"/>
      <c r="C54" s="313"/>
      <c r="D54" s="313"/>
      <c r="E54" s="313"/>
      <c r="F54" s="313"/>
      <c r="G54" s="313"/>
      <c r="H54" s="313"/>
      <c r="I54" s="314"/>
      <c r="J54"/>
      <c r="K54"/>
      <c r="L54"/>
      <c r="M54"/>
      <c r="N54"/>
      <c r="O54"/>
      <c r="P54"/>
      <c r="Q54"/>
      <c r="R54"/>
      <c r="S54"/>
      <c r="T54"/>
      <c r="U54"/>
      <c r="V54"/>
      <c r="W54"/>
    </row>
    <row r="55" spans="1:23" ht="18" customHeight="1" x14ac:dyDescent="0.2">
      <c r="A55" s="35" t="s">
        <v>17</v>
      </c>
      <c r="B55" s="56"/>
      <c r="C55" s="37" t="s">
        <v>140</v>
      </c>
      <c r="D55" s="57"/>
      <c r="E55" s="58"/>
      <c r="F55" s="58"/>
      <c r="G55" s="59"/>
      <c r="H55" s="59"/>
      <c r="I55" s="60"/>
    </row>
    <row r="56" spans="1:23" ht="25.9" customHeight="1" x14ac:dyDescent="0.2">
      <c r="A56" s="159" t="s">
        <v>27</v>
      </c>
      <c r="B56" s="117" t="s">
        <v>55</v>
      </c>
      <c r="C56" s="127" t="s">
        <v>190</v>
      </c>
      <c r="D56" s="119" t="s">
        <v>25</v>
      </c>
      <c r="E56" s="22">
        <f>'[1]MEMÓRIA DE CÁLCULO'!$H$331</f>
        <v>1.2</v>
      </c>
      <c r="F56" s="22"/>
      <c r="G56" s="23">
        <v>102.15</v>
      </c>
      <c r="H56" s="147">
        <f>(G56*$I$6)+G56</f>
        <v>122.58000000000001</v>
      </c>
      <c r="I56" s="148">
        <f>ROUND(E56*H56,2)</f>
        <v>147.1</v>
      </c>
      <c r="J56" s="602" t="s">
        <v>152</v>
      </c>
    </row>
    <row r="57" spans="1:23" ht="20.25" customHeight="1" x14ac:dyDescent="0.2">
      <c r="A57" s="159" t="s">
        <v>30</v>
      </c>
      <c r="B57" s="117" t="s">
        <v>46</v>
      </c>
      <c r="C57" s="127" t="s">
        <v>189</v>
      </c>
      <c r="D57" s="119" t="s">
        <v>25</v>
      </c>
      <c r="E57" s="22">
        <f>'[1]MEMÓRIA DE CÁLCULO'!$H$338</f>
        <v>27.791699999999999</v>
      </c>
      <c r="F57" s="22"/>
      <c r="G57" s="23">
        <v>12.74</v>
      </c>
      <c r="H57" s="147">
        <f t="shared" ref="H57:H60" si="10">(G57*$I$6)+G57</f>
        <v>15.288</v>
      </c>
      <c r="I57" s="148">
        <f>ROUND(E57*H57,2)</f>
        <v>424.88</v>
      </c>
      <c r="J57" s="602" t="s">
        <v>153</v>
      </c>
    </row>
    <row r="58" spans="1:23" ht="59.25" customHeight="1" x14ac:dyDescent="0.2">
      <c r="A58" s="159" t="s">
        <v>206</v>
      </c>
      <c r="B58" s="117" t="s">
        <v>111</v>
      </c>
      <c r="C58" s="127" t="s">
        <v>207</v>
      </c>
      <c r="D58" s="119" t="str">
        <f>[2]COMP0225!$C$164880</f>
        <v>UN</v>
      </c>
      <c r="E58" s="22">
        <f>'[1]MEMÓRIA DE CÁLCULO'!$H$347</f>
        <v>5</v>
      </c>
      <c r="F58" s="22"/>
      <c r="G58" s="23">
        <v>314.29000000000002</v>
      </c>
      <c r="H58" s="147">
        <f t="shared" si="10"/>
        <v>377.14800000000002</v>
      </c>
      <c r="I58" s="148">
        <f>ROUND(E58*H58,2)</f>
        <v>1885.74</v>
      </c>
      <c r="J58" s="163" t="s">
        <v>208</v>
      </c>
    </row>
    <row r="59" spans="1:23" ht="53.25" customHeight="1" x14ac:dyDescent="0.2">
      <c r="A59" s="159" t="s">
        <v>210</v>
      </c>
      <c r="B59" s="117" t="s">
        <v>209</v>
      </c>
      <c r="C59" s="127" t="s">
        <v>211</v>
      </c>
      <c r="D59" s="119" t="str">
        <f>[2]COMP0225!$C$164880</f>
        <v>UN</v>
      </c>
      <c r="E59" s="22">
        <f>'[1]MEMÓRIA DE CÁLCULO'!$G$353</f>
        <v>1</v>
      </c>
      <c r="F59" s="22"/>
      <c r="G59" s="23">
        <v>241.41</v>
      </c>
      <c r="H59" s="147">
        <f t="shared" si="10"/>
        <v>289.69200000000001</v>
      </c>
      <c r="I59" s="148">
        <f>ROUND(E59*H59,2)</f>
        <v>289.69</v>
      </c>
      <c r="J59" s="163"/>
    </row>
    <row r="60" spans="1:23" ht="52.5" customHeight="1" x14ac:dyDescent="0.2">
      <c r="A60" s="159" t="s">
        <v>243</v>
      </c>
      <c r="B60" s="117" t="s">
        <v>244</v>
      </c>
      <c r="C60" s="127" t="s">
        <v>245</v>
      </c>
      <c r="D60" s="119" t="s">
        <v>23</v>
      </c>
      <c r="E60" s="22">
        <v>78.459999999999994</v>
      </c>
      <c r="F60" s="22"/>
      <c r="G60" s="23">
        <v>87.17</v>
      </c>
      <c r="H60" s="147">
        <f t="shared" si="10"/>
        <v>104.604</v>
      </c>
      <c r="I60" s="148">
        <f>ROUND(E60*H60,2)</f>
        <v>8207.23</v>
      </c>
      <c r="J60" s="163"/>
    </row>
    <row r="61" spans="1:23" ht="18" customHeight="1" x14ac:dyDescent="0.2">
      <c r="A61" s="68"/>
      <c r="B61" s="55"/>
      <c r="C61" s="28" t="s">
        <v>19</v>
      </c>
      <c r="D61" s="61"/>
      <c r="E61" s="62"/>
      <c r="F61" s="62"/>
      <c r="G61" s="63"/>
      <c r="H61" s="63"/>
      <c r="I61" s="32">
        <f>SUM(I56,I57:I60)</f>
        <v>10954.64</v>
      </c>
    </row>
    <row r="62" spans="1:23" ht="18" customHeight="1" x14ac:dyDescent="0.2">
      <c r="A62" s="328"/>
      <c r="B62" s="329"/>
      <c r="C62" s="329"/>
      <c r="D62" s="329"/>
      <c r="E62" s="329"/>
      <c r="F62" s="329"/>
      <c r="G62" s="329"/>
      <c r="H62" s="329"/>
      <c r="I62" s="330"/>
    </row>
    <row r="63" spans="1:23" ht="18" customHeight="1" x14ac:dyDescent="0.2">
      <c r="A63" s="35" t="s">
        <v>33</v>
      </c>
      <c r="B63" s="56"/>
      <c r="C63" s="37" t="s">
        <v>132</v>
      </c>
      <c r="D63" s="38"/>
      <c r="E63" s="39"/>
      <c r="F63" s="39"/>
      <c r="G63" s="40"/>
      <c r="H63" s="40"/>
      <c r="I63" s="41"/>
    </row>
    <row r="64" spans="1:23" s="25" customFormat="1" ht="27.75" customHeight="1" x14ac:dyDescent="0.2">
      <c r="A64" s="159" t="s">
        <v>34</v>
      </c>
      <c r="B64" s="51" t="s">
        <v>58</v>
      </c>
      <c r="C64" s="48" t="s">
        <v>194</v>
      </c>
      <c r="D64" s="21" t="s">
        <v>23</v>
      </c>
      <c r="E64" s="22">
        <f>'[1]MEMÓRIA DE CÁLCULO'!$H$369</f>
        <v>15</v>
      </c>
      <c r="F64" s="22"/>
      <c r="G64" s="23">
        <v>81.349999999999994</v>
      </c>
      <c r="H64" s="23">
        <f t="shared" ref="H64:H66" si="11">(G64*$I$6)+G64</f>
        <v>97.61999999999999</v>
      </c>
      <c r="I64" s="24">
        <f>ROUND(E64*H64,2)</f>
        <v>1464.3</v>
      </c>
      <c r="J64" s="606" t="s">
        <v>156</v>
      </c>
    </row>
    <row r="65" spans="1:256" s="25" customFormat="1" ht="64.5" customHeight="1" x14ac:dyDescent="0.2">
      <c r="A65" s="159" t="s">
        <v>84</v>
      </c>
      <c r="B65" s="51" t="s">
        <v>59</v>
      </c>
      <c r="C65" s="48" t="s">
        <v>193</v>
      </c>
      <c r="D65" s="21" t="s">
        <v>25</v>
      </c>
      <c r="E65" s="22">
        <f>'[1]MEMÓRIA DE CÁLCULO'!$H$375</f>
        <v>5</v>
      </c>
      <c r="F65" s="22"/>
      <c r="G65" s="23">
        <v>85.4</v>
      </c>
      <c r="H65" s="23">
        <f t="shared" si="11"/>
        <v>102.48</v>
      </c>
      <c r="I65" s="24">
        <f>ROUND(E65*H65,2)</f>
        <v>512.4</v>
      </c>
      <c r="J65" s="162"/>
    </row>
    <row r="66" spans="1:256" s="25" customFormat="1" ht="22.5" customHeight="1" x14ac:dyDescent="0.2">
      <c r="A66" s="159" t="s">
        <v>197</v>
      </c>
      <c r="B66" s="51" t="s">
        <v>231</v>
      </c>
      <c r="C66" s="48" t="s">
        <v>232</v>
      </c>
      <c r="D66" s="21" t="s">
        <v>23</v>
      </c>
      <c r="E66" s="22">
        <f>'[1]MEMÓRIA DE CÁLCULO'!$H$381</f>
        <v>87.45</v>
      </c>
      <c r="F66" s="22"/>
      <c r="G66" s="23">
        <v>135.19999999999999</v>
      </c>
      <c r="H66" s="23">
        <f t="shared" si="11"/>
        <v>162.23999999999998</v>
      </c>
      <c r="I66" s="24">
        <f>ROUND(E66*H66,2)</f>
        <v>14187.89</v>
      </c>
      <c r="J66" s="177"/>
    </row>
    <row r="67" spans="1:256" s="25" customFormat="1" ht="18" customHeight="1" x14ac:dyDescent="0.2">
      <c r="A67" s="26"/>
      <c r="B67" s="27"/>
      <c r="C67" s="28" t="s">
        <v>19</v>
      </c>
      <c r="D67" s="29"/>
      <c r="E67" s="30"/>
      <c r="F67" s="30"/>
      <c r="G67" s="31"/>
      <c r="H67" s="31"/>
      <c r="I67" s="32">
        <f>SUM(I64,I65,I66)</f>
        <v>16164.59</v>
      </c>
      <c r="J67"/>
    </row>
    <row r="68" spans="1:256" x14ac:dyDescent="0.2">
      <c r="A68" s="312"/>
      <c r="B68" s="313"/>
      <c r="C68" s="313"/>
      <c r="D68" s="313"/>
      <c r="E68" s="313"/>
      <c r="F68" s="313"/>
      <c r="G68" s="313"/>
      <c r="H68" s="313"/>
      <c r="I68" s="314"/>
    </row>
    <row r="69" spans="1:256" s="64" customFormat="1" ht="18" customHeight="1" x14ac:dyDescent="0.2">
      <c r="A69" s="35" t="s">
        <v>24</v>
      </c>
      <c r="B69" s="36"/>
      <c r="C69" s="37" t="s">
        <v>139</v>
      </c>
      <c r="D69" s="65"/>
      <c r="E69" s="66"/>
      <c r="F69" s="66"/>
      <c r="G69" s="67"/>
      <c r="H69" s="59"/>
      <c r="I69" s="60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64" customFormat="1" ht="36" customHeight="1" x14ac:dyDescent="0.2">
      <c r="A70" s="159" t="s">
        <v>31</v>
      </c>
      <c r="B70" s="165" t="s">
        <v>224</v>
      </c>
      <c r="C70" s="166" t="s">
        <v>225</v>
      </c>
      <c r="D70" s="167" t="s">
        <v>21</v>
      </c>
      <c r="E70" s="168">
        <v>62</v>
      </c>
      <c r="F70" s="168">
        <v>165.64</v>
      </c>
      <c r="G70" s="126">
        <v>312.76</v>
      </c>
      <c r="H70" s="126">
        <f>(G70*$I$6)+G70</f>
        <v>375.31200000000001</v>
      </c>
      <c r="I70" s="169">
        <f>ROUND(E70*H70,2)</f>
        <v>23269.34</v>
      </c>
      <c r="J70" s="607" t="s">
        <v>29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64" customFormat="1" ht="22.5" x14ac:dyDescent="0.2">
      <c r="A71" s="159" t="s">
        <v>86</v>
      </c>
      <c r="B71" s="165" t="s">
        <v>227</v>
      </c>
      <c r="C71" s="166" t="s">
        <v>226</v>
      </c>
      <c r="D71" s="167" t="s">
        <v>23</v>
      </c>
      <c r="E71" s="168">
        <v>31</v>
      </c>
      <c r="F71" s="168">
        <v>166.64</v>
      </c>
      <c r="G71" s="126">
        <v>102.73</v>
      </c>
      <c r="H71" s="126">
        <f t="shared" ref="H71:H73" si="12">(G71*$I$6)+G71</f>
        <v>123.27600000000001</v>
      </c>
      <c r="I71" s="169">
        <f t="shared" ref="I71:I73" si="13">ROUND(E71*H71,2)</f>
        <v>3821.56</v>
      </c>
      <c r="J71" s="607" t="s">
        <v>149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64" customFormat="1" ht="33.75" x14ac:dyDescent="0.2">
      <c r="A72" s="159" t="s">
        <v>35</v>
      </c>
      <c r="B72" s="165" t="s">
        <v>228</v>
      </c>
      <c r="C72" s="166" t="s">
        <v>229</v>
      </c>
      <c r="D72" s="167" t="s">
        <v>21</v>
      </c>
      <c r="E72" s="168">
        <f>'[1]MEMÓRIA DE CÁLCULO'!$H$400</f>
        <v>124</v>
      </c>
      <c r="F72" s="168">
        <v>167.64</v>
      </c>
      <c r="G72" s="126">
        <v>18.96</v>
      </c>
      <c r="H72" s="126">
        <f t="shared" si="12"/>
        <v>22.752000000000002</v>
      </c>
      <c r="I72" s="169">
        <f t="shared" si="13"/>
        <v>2821.25</v>
      </c>
      <c r="J72" s="607" t="s">
        <v>22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64" customFormat="1" ht="19.5" customHeight="1" x14ac:dyDescent="0.2">
      <c r="A73" s="159" t="s">
        <v>198</v>
      </c>
      <c r="B73" s="170">
        <v>6913</v>
      </c>
      <c r="C73" s="166" t="s">
        <v>233</v>
      </c>
      <c r="D73" s="167" t="s">
        <v>230</v>
      </c>
      <c r="E73" s="168">
        <f>'[1]MEMÓRIA DE CÁLCULO'!$H$406</f>
        <v>5.4146666666666663</v>
      </c>
      <c r="F73" s="171"/>
      <c r="G73" s="126">
        <v>30.07</v>
      </c>
      <c r="H73" s="126">
        <f t="shared" si="12"/>
        <v>36.084000000000003</v>
      </c>
      <c r="I73" s="169">
        <f t="shared" si="13"/>
        <v>195.38</v>
      </c>
      <c r="J73" s="608"/>
      <c r="K73" s="172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ht="18" customHeight="1" x14ac:dyDescent="0.2">
      <c r="A74" s="68"/>
      <c r="B74" s="69"/>
      <c r="C74" s="28" t="s">
        <v>19</v>
      </c>
      <c r="D74" s="70"/>
      <c r="E74" s="71"/>
      <c r="F74" s="71"/>
      <c r="G74" s="72"/>
      <c r="H74" s="72"/>
      <c r="I74" s="32">
        <f>SUM(I70:I73)</f>
        <v>30107.530000000002</v>
      </c>
    </row>
    <row r="75" spans="1:256" s="64" customFormat="1" x14ac:dyDescent="0.2">
      <c r="A75" s="312"/>
      <c r="B75" s="313"/>
      <c r="C75" s="313"/>
      <c r="D75" s="313"/>
      <c r="E75" s="313"/>
      <c r="F75" s="313"/>
      <c r="G75" s="313"/>
      <c r="H75" s="313"/>
      <c r="I75" s="314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25" customFormat="1" ht="18" customHeight="1" x14ac:dyDescent="0.2">
      <c r="A76" s="35" t="s">
        <v>36</v>
      </c>
      <c r="B76" s="56"/>
      <c r="C76" s="37" t="s">
        <v>141</v>
      </c>
      <c r="D76" s="65"/>
      <c r="E76" s="66"/>
      <c r="F76" s="66"/>
      <c r="G76" s="67"/>
      <c r="H76" s="59"/>
      <c r="I76" s="60"/>
      <c r="J76"/>
      <c r="K76"/>
      <c r="L76"/>
      <c r="M76"/>
      <c r="N76"/>
      <c r="O76"/>
      <c r="P76"/>
      <c r="Q76"/>
      <c r="R76"/>
    </row>
    <row r="77" spans="1:256" s="25" customFormat="1" ht="47.25" customHeight="1" x14ac:dyDescent="0.2">
      <c r="A77" s="68" t="s">
        <v>37</v>
      </c>
      <c r="B77" s="117" t="s">
        <v>65</v>
      </c>
      <c r="C77" s="118" t="s">
        <v>191</v>
      </c>
      <c r="D77" s="119" t="s">
        <v>25</v>
      </c>
      <c r="E77" s="73">
        <f>'[1]MEMÓRIA DE CÁLCULO'!$H$416</f>
        <v>7.25</v>
      </c>
      <c r="F77" s="73"/>
      <c r="G77" s="23">
        <v>69.59</v>
      </c>
      <c r="H77" s="33">
        <f>(G77*$I$6)+G77</f>
        <v>83.50800000000001</v>
      </c>
      <c r="I77" s="74">
        <f>ROUND(E77*H77,2)</f>
        <v>605.42999999999995</v>
      </c>
      <c r="J77" s="602" t="s">
        <v>148</v>
      </c>
      <c r="K77"/>
      <c r="L77"/>
      <c r="M77"/>
      <c r="N77"/>
      <c r="O77"/>
      <c r="P77"/>
      <c r="Q77"/>
      <c r="R77"/>
    </row>
    <row r="78" spans="1:256" s="25" customFormat="1" ht="26.25" customHeight="1" x14ac:dyDescent="0.2">
      <c r="A78" s="68" t="s">
        <v>218</v>
      </c>
      <c r="B78" s="117" t="s">
        <v>214</v>
      </c>
      <c r="C78" s="118" t="s">
        <v>215</v>
      </c>
      <c r="D78" s="119" t="s">
        <v>81</v>
      </c>
      <c r="E78" s="73">
        <f>'[1]MEMÓRIA DE CÁLCULO'!$H$424</f>
        <v>24</v>
      </c>
      <c r="F78" s="73"/>
      <c r="G78" s="23">
        <v>2.4700000000000002</v>
      </c>
      <c r="H78" s="33">
        <f>(G78*$I$6)+G78</f>
        <v>2.9640000000000004</v>
      </c>
      <c r="I78" s="74">
        <f>ROUND(E78*H78,2)</f>
        <v>71.14</v>
      </c>
      <c r="J78" s="163"/>
      <c r="K78"/>
      <c r="L78"/>
      <c r="M78"/>
      <c r="N78"/>
      <c r="O78"/>
      <c r="P78"/>
      <c r="Q78"/>
      <c r="R78"/>
    </row>
    <row r="79" spans="1:256" s="25" customFormat="1" ht="22.5" customHeight="1" x14ac:dyDescent="0.2">
      <c r="A79" s="68" t="s">
        <v>219</v>
      </c>
      <c r="B79" s="117" t="s">
        <v>216</v>
      </c>
      <c r="C79" s="118" t="s">
        <v>217</v>
      </c>
      <c r="D79" s="119" t="s">
        <v>25</v>
      </c>
      <c r="E79" s="73">
        <f>'[1]MEMÓRIA DE CÁLCULO'!$H$431</f>
        <v>7.2</v>
      </c>
      <c r="F79" s="73"/>
      <c r="G79" s="23">
        <v>5.24</v>
      </c>
      <c r="H79" s="33">
        <f>(G79*$I$6)+G79</f>
        <v>6.2880000000000003</v>
      </c>
      <c r="I79" s="74">
        <f>ROUND(E79*H79,2)</f>
        <v>45.27</v>
      </c>
      <c r="J79" s="163"/>
      <c r="K79"/>
      <c r="L79"/>
      <c r="M79"/>
      <c r="N79"/>
      <c r="O79"/>
      <c r="P79"/>
      <c r="Q79"/>
      <c r="R79"/>
    </row>
    <row r="80" spans="1:256" s="25" customFormat="1" ht="18" customHeight="1" x14ac:dyDescent="0.2">
      <c r="A80" s="75"/>
      <c r="B80" s="76"/>
      <c r="C80" s="28" t="s">
        <v>19</v>
      </c>
      <c r="D80" s="70"/>
      <c r="E80" s="71"/>
      <c r="F80" s="71"/>
      <c r="G80" s="72"/>
      <c r="H80" s="72"/>
      <c r="I80" s="32">
        <f>SUM(I77:I79)</f>
        <v>721.83999999999992</v>
      </c>
      <c r="J80"/>
      <c r="K80"/>
      <c r="L80"/>
      <c r="M80"/>
      <c r="N80"/>
      <c r="O80"/>
      <c r="P80"/>
      <c r="Q80"/>
      <c r="R80"/>
    </row>
    <row r="81" spans="1:256" s="25" customFormat="1" x14ac:dyDescent="0.2">
      <c r="A81" s="312"/>
      <c r="B81" s="313"/>
      <c r="C81" s="313"/>
      <c r="D81" s="313"/>
      <c r="E81" s="313"/>
      <c r="F81" s="313"/>
      <c r="G81" s="313"/>
      <c r="H81" s="313"/>
      <c r="I81" s="314"/>
      <c r="J81"/>
      <c r="K81"/>
      <c r="L81"/>
      <c r="M81"/>
      <c r="N81"/>
      <c r="O81"/>
      <c r="P81"/>
      <c r="Q81"/>
      <c r="R81"/>
    </row>
    <row r="82" spans="1:256" s="120" customFormat="1" ht="13.5" thickBot="1" x14ac:dyDescent="0.25">
      <c r="A82" s="121"/>
      <c r="B82" s="613"/>
      <c r="C82" s="614"/>
      <c r="D82" s="615"/>
      <c r="E82" s="616"/>
      <c r="F82" s="616"/>
      <c r="G82" s="617"/>
      <c r="H82" s="618"/>
      <c r="I82" s="122"/>
      <c r="J82"/>
      <c r="K82"/>
      <c r="L82"/>
      <c r="M82"/>
      <c r="N82"/>
      <c r="O82"/>
      <c r="P82"/>
    </row>
    <row r="83" spans="1:256" ht="18" customHeight="1" x14ac:dyDescent="0.2">
      <c r="A83" s="344" t="s">
        <v>8</v>
      </c>
      <c r="B83" s="345"/>
      <c r="C83" s="345"/>
      <c r="D83" s="345"/>
      <c r="E83" s="345"/>
      <c r="F83" s="345"/>
      <c r="G83" s="345"/>
      <c r="H83" s="346"/>
      <c r="I83" s="77">
        <f>I80+I74+I67+I61+I53+I44+I39+I27+I18+I10</f>
        <v>153581.43000000002</v>
      </c>
    </row>
    <row r="84" spans="1:256" x14ac:dyDescent="0.2">
      <c r="A84" s="78"/>
      <c r="B84" s="619"/>
      <c r="C84" s="619"/>
      <c r="D84" s="619"/>
      <c r="E84" s="619"/>
      <c r="F84" s="619"/>
      <c r="G84" s="620"/>
      <c r="H84" s="620"/>
      <c r="I84" s="79"/>
    </row>
    <row r="85" spans="1:256" x14ac:dyDescent="0.2">
      <c r="A85" s="80"/>
      <c r="B85" s="621"/>
      <c r="C85" s="621"/>
      <c r="D85" s="621"/>
      <c r="E85" s="621"/>
      <c r="F85" s="621"/>
      <c r="G85" s="622"/>
      <c r="H85" s="622"/>
      <c r="I85" s="81"/>
    </row>
    <row r="86" spans="1:256" hidden="1" x14ac:dyDescent="0.2">
      <c r="A86" s="80"/>
      <c r="B86" s="621"/>
      <c r="C86" s="621"/>
      <c r="D86" s="621"/>
      <c r="E86" s="621"/>
      <c r="F86" s="621"/>
      <c r="G86" s="622"/>
      <c r="H86" s="622"/>
      <c r="I86" s="81"/>
    </row>
    <row r="87" spans="1:256" x14ac:dyDescent="0.2">
      <c r="A87" s="80"/>
      <c r="B87" s="343"/>
      <c r="C87" s="343"/>
      <c r="D87" s="623"/>
      <c r="E87" s="343"/>
      <c r="F87" s="343"/>
      <c r="G87" s="343"/>
      <c r="H87" s="622"/>
      <c r="I87" s="81"/>
    </row>
    <row r="88" spans="1:256" ht="11.25" customHeight="1" x14ac:dyDescent="0.2">
      <c r="A88" s="80"/>
      <c r="B88" s="331" t="s">
        <v>127</v>
      </c>
      <c r="C88" s="331"/>
      <c r="D88" s="331"/>
      <c r="E88" s="331"/>
      <c r="F88" s="331"/>
      <c r="G88" s="331"/>
      <c r="H88" s="622"/>
      <c r="I88" s="81"/>
    </row>
    <row r="89" spans="1:256" x14ac:dyDescent="0.2">
      <c r="A89" s="80"/>
      <c r="B89" s="624" t="s">
        <v>128</v>
      </c>
      <c r="C89" s="624"/>
      <c r="D89" s="624"/>
      <c r="E89" s="624"/>
      <c r="F89" s="624"/>
      <c r="G89" s="624"/>
      <c r="H89" s="625"/>
      <c r="I89" s="82"/>
    </row>
    <row r="90" spans="1:256" x14ac:dyDescent="0.2">
      <c r="A90" s="80"/>
      <c r="B90" s="621"/>
      <c r="C90" s="625"/>
      <c r="D90" s="625"/>
      <c r="E90" s="625"/>
      <c r="F90" s="625"/>
      <c r="G90" s="625"/>
      <c r="H90" s="625"/>
      <c r="I90" s="82"/>
      <c r="II90" s="83"/>
      <c r="IJ90" s="83"/>
      <c r="IK90" s="83"/>
      <c r="IL90" s="83"/>
      <c r="IM90" s="83"/>
      <c r="IN90" s="83"/>
      <c r="IO90" s="83"/>
      <c r="IP90" s="83"/>
      <c r="IQ90" s="83"/>
      <c r="IR90" s="83"/>
      <c r="IS90" s="83"/>
      <c r="IT90" s="83"/>
      <c r="IU90" s="83"/>
      <c r="IV90" s="83"/>
    </row>
    <row r="91" spans="1:256" x14ac:dyDescent="0.2">
      <c r="A91" s="84"/>
      <c r="B91" s="85"/>
      <c r="C91" s="86"/>
      <c r="D91" s="86"/>
      <c r="E91" s="86"/>
      <c r="F91" s="86"/>
      <c r="G91" s="86"/>
      <c r="H91" s="86"/>
      <c r="I91" s="87"/>
      <c r="II91" s="83"/>
      <c r="IJ91" s="83"/>
      <c r="IK91" s="83"/>
      <c r="IL91" s="83"/>
      <c r="IM91" s="83"/>
      <c r="IN91" s="83"/>
      <c r="IO91" s="83"/>
      <c r="IP91" s="83"/>
      <c r="IQ91" s="83"/>
      <c r="IR91" s="83"/>
      <c r="IS91" s="83"/>
      <c r="IT91" s="83"/>
      <c r="IU91" s="83"/>
      <c r="IV91" s="83"/>
    </row>
    <row r="92" spans="1:256" x14ac:dyDescent="0.2">
      <c r="C92"/>
      <c r="D92"/>
      <c r="E92"/>
      <c r="F92"/>
      <c r="G92"/>
      <c r="H92"/>
      <c r="I92"/>
      <c r="II92" s="83"/>
      <c r="IJ92" s="83"/>
      <c r="IK92" s="83"/>
      <c r="IL92" s="83"/>
      <c r="IM92" s="83"/>
      <c r="IN92" s="83"/>
      <c r="IO92" s="83"/>
      <c r="IP92" s="83"/>
      <c r="IQ92" s="83"/>
      <c r="IR92" s="83"/>
      <c r="IS92" s="83"/>
      <c r="IT92" s="83"/>
      <c r="IU92" s="83"/>
      <c r="IV92" s="83"/>
    </row>
    <row r="93" spans="1:256" x14ac:dyDescent="0.2">
      <c r="C93"/>
      <c r="D93"/>
      <c r="E93"/>
      <c r="F93"/>
      <c r="G93"/>
      <c r="H93"/>
      <c r="I93"/>
      <c r="II93" s="83"/>
      <c r="IJ93" s="83"/>
      <c r="IK93" s="83"/>
      <c r="IL93" s="83"/>
      <c r="IM93" s="83"/>
      <c r="IN93" s="83"/>
      <c r="IO93" s="83"/>
      <c r="IP93" s="83"/>
      <c r="IQ93" s="83"/>
      <c r="IR93" s="83"/>
      <c r="IS93" s="83"/>
      <c r="IT93" s="83"/>
      <c r="IU93" s="83"/>
      <c r="IV93" s="83"/>
    </row>
    <row r="94" spans="1:256" x14ac:dyDescent="0.2">
      <c r="C94"/>
      <c r="D94"/>
      <c r="E94"/>
      <c r="F94"/>
      <c r="G94"/>
      <c r="H94"/>
      <c r="I94"/>
      <c r="II94" s="83"/>
      <c r="IJ94" s="83"/>
      <c r="IK94" s="83"/>
      <c r="IL94" s="83"/>
      <c r="IM94" s="83"/>
      <c r="IN94" s="83"/>
      <c r="IO94" s="83"/>
      <c r="IP94" s="83"/>
      <c r="IQ94" s="83"/>
      <c r="IR94" s="83"/>
      <c r="IS94" s="83"/>
      <c r="IT94" s="83"/>
      <c r="IU94" s="83"/>
      <c r="IV94" s="83"/>
    </row>
    <row r="95" spans="1:256" x14ac:dyDescent="0.2">
      <c r="C95"/>
      <c r="D95"/>
      <c r="E95"/>
      <c r="F95"/>
      <c r="G95"/>
      <c r="H95"/>
      <c r="I95"/>
      <c r="II95" s="83"/>
      <c r="IJ95" s="83"/>
      <c r="IK95" s="83"/>
      <c r="IL95" s="83"/>
      <c r="IM95" s="83"/>
      <c r="IN95" s="83"/>
      <c r="IO95" s="83"/>
      <c r="IP95" s="83"/>
      <c r="IQ95" s="83"/>
      <c r="IR95" s="83"/>
      <c r="IS95" s="83"/>
      <c r="IT95" s="83"/>
      <c r="IU95" s="83"/>
      <c r="IV95" s="83"/>
    </row>
    <row r="96" spans="1:256" x14ac:dyDescent="0.2">
      <c r="C96"/>
      <c r="D96"/>
      <c r="E96"/>
      <c r="F96"/>
      <c r="G96"/>
      <c r="H96"/>
      <c r="I96"/>
      <c r="II96" s="83"/>
      <c r="IJ96" s="83"/>
      <c r="IK96" s="83"/>
      <c r="IL96" s="83"/>
      <c r="IM96" s="83"/>
      <c r="IN96" s="83"/>
      <c r="IO96" s="83"/>
      <c r="IP96" s="83"/>
      <c r="IQ96" s="83"/>
      <c r="IR96" s="83"/>
      <c r="IS96" s="83"/>
      <c r="IT96" s="83"/>
      <c r="IU96" s="83"/>
      <c r="IV96" s="83"/>
    </row>
    <row r="97" spans="1:256" x14ac:dyDescent="0.2">
      <c r="C97"/>
      <c r="D97"/>
      <c r="E97"/>
      <c r="F97"/>
      <c r="G97"/>
      <c r="H97"/>
      <c r="I97"/>
      <c r="II97" s="83"/>
      <c r="IJ97" s="83"/>
      <c r="IK97" s="83"/>
      <c r="IL97" s="83"/>
      <c r="IM97" s="83"/>
      <c r="IN97" s="83"/>
      <c r="IO97" s="83"/>
      <c r="IP97" s="83"/>
      <c r="IQ97" s="83"/>
      <c r="IR97" s="83"/>
      <c r="IS97" s="83"/>
      <c r="IT97" s="83"/>
      <c r="IU97" s="83"/>
      <c r="IV97" s="83"/>
    </row>
    <row r="98" spans="1:256" x14ac:dyDescent="0.2">
      <c r="A98"/>
      <c r="B98"/>
      <c r="C98"/>
      <c r="D98"/>
      <c r="E98"/>
      <c r="F98"/>
      <c r="G98"/>
      <c r="H98"/>
      <c r="I98"/>
      <c r="II98" s="83"/>
      <c r="IJ98" s="83"/>
      <c r="IK98" s="83"/>
      <c r="IL98" s="83"/>
      <c r="IM98" s="83"/>
      <c r="IN98" s="83"/>
      <c r="IO98" s="83"/>
      <c r="IP98" s="83"/>
      <c r="IQ98" s="83"/>
      <c r="IR98" s="83"/>
      <c r="IS98" s="83"/>
      <c r="IT98" s="83"/>
      <c r="IU98" s="83"/>
      <c r="IV98" s="83"/>
    </row>
    <row r="99" spans="1:256" x14ac:dyDescent="0.2">
      <c r="A99"/>
      <c r="B99"/>
      <c r="C99"/>
      <c r="D99"/>
      <c r="E99"/>
      <c r="F99"/>
      <c r="G99"/>
      <c r="H99"/>
      <c r="I99"/>
      <c r="II99" s="83"/>
      <c r="IJ99" s="83"/>
      <c r="IK99" s="83"/>
      <c r="IL99" s="83"/>
      <c r="IM99" s="83"/>
      <c r="IN99" s="83"/>
      <c r="IO99" s="83"/>
      <c r="IP99" s="83"/>
      <c r="IQ99" s="83"/>
      <c r="IR99" s="83"/>
      <c r="IS99" s="83"/>
      <c r="IT99" s="83"/>
      <c r="IU99" s="83"/>
      <c r="IV99" s="83"/>
    </row>
    <row r="100" spans="1:256" x14ac:dyDescent="0.2">
      <c r="A100"/>
      <c r="B100"/>
      <c r="C100"/>
      <c r="D100"/>
      <c r="E100"/>
      <c r="F100"/>
      <c r="G100"/>
      <c r="H100"/>
      <c r="I100"/>
      <c r="II100" s="83"/>
      <c r="IJ100" s="83"/>
      <c r="IK100" s="83"/>
      <c r="IL100" s="83"/>
      <c r="IM100" s="83"/>
      <c r="IN100" s="83"/>
      <c r="IO100" s="83"/>
      <c r="IP100" s="83"/>
      <c r="IQ100" s="83"/>
      <c r="IR100" s="83"/>
      <c r="IS100" s="83"/>
      <c r="IT100" s="83"/>
      <c r="IU100" s="83"/>
      <c r="IV100" s="83"/>
    </row>
    <row r="101" spans="1:256" x14ac:dyDescent="0.2">
      <c r="A101"/>
      <c r="B101"/>
      <c r="C101"/>
      <c r="D101"/>
      <c r="E101"/>
      <c r="F101"/>
      <c r="G101"/>
      <c r="H101"/>
      <c r="I101"/>
      <c r="II101" s="83"/>
      <c r="IJ101" s="83"/>
      <c r="IK101" s="83"/>
      <c r="IL101" s="83"/>
      <c r="IM101" s="83"/>
      <c r="IN101" s="83"/>
      <c r="IO101" s="83"/>
      <c r="IP101" s="83"/>
      <c r="IQ101" s="83"/>
      <c r="IR101" s="83"/>
      <c r="IS101" s="83"/>
      <c r="IT101" s="83"/>
      <c r="IU101" s="83"/>
      <c r="IV101" s="83"/>
    </row>
    <row r="102" spans="1:256" x14ac:dyDescent="0.2">
      <c r="A102"/>
      <c r="B102"/>
      <c r="C102"/>
      <c r="D102"/>
      <c r="E102"/>
      <c r="F102"/>
      <c r="G102"/>
      <c r="H102"/>
      <c r="I102"/>
      <c r="II102" s="83"/>
      <c r="IJ102" s="83"/>
      <c r="IK102" s="83"/>
      <c r="IL102" s="83"/>
      <c r="IM102" s="83"/>
      <c r="IN102" s="83"/>
      <c r="IO102" s="83"/>
      <c r="IP102" s="83"/>
      <c r="IQ102" s="83"/>
      <c r="IR102" s="83"/>
      <c r="IS102" s="83"/>
      <c r="IT102" s="83"/>
      <c r="IU102" s="83"/>
      <c r="IV102" s="83"/>
    </row>
    <row r="103" spans="1:256" x14ac:dyDescent="0.2">
      <c r="A103"/>
      <c r="B103"/>
      <c r="C103"/>
      <c r="D103"/>
      <c r="E103"/>
      <c r="F103"/>
      <c r="G103"/>
      <c r="H103"/>
      <c r="I103"/>
      <c r="II103" s="83"/>
      <c r="IJ103" s="83"/>
      <c r="IK103" s="83"/>
      <c r="IL103" s="83"/>
      <c r="IM103" s="83"/>
      <c r="IN103" s="83"/>
      <c r="IO103" s="83"/>
      <c r="IP103" s="83"/>
      <c r="IQ103" s="83"/>
      <c r="IR103" s="83"/>
      <c r="IS103" s="83"/>
      <c r="IT103" s="83"/>
      <c r="IU103" s="83"/>
      <c r="IV103" s="83"/>
    </row>
    <row r="104" spans="1:256" x14ac:dyDescent="0.2">
      <c r="A104"/>
      <c r="B104"/>
      <c r="C104"/>
      <c r="D104"/>
      <c r="E104"/>
      <c r="F104"/>
      <c r="G104"/>
      <c r="H104"/>
      <c r="I104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</row>
    <row r="105" spans="1:256" x14ac:dyDescent="0.2">
      <c r="A105"/>
      <c r="B105"/>
      <c r="C105"/>
      <c r="D105"/>
      <c r="E105"/>
      <c r="F105"/>
      <c r="G105"/>
      <c r="H105"/>
      <c r="I105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</row>
    <row r="106" spans="1:256" x14ac:dyDescent="0.2">
      <c r="A106"/>
      <c r="B106"/>
      <c r="C106"/>
      <c r="D106"/>
      <c r="E106"/>
      <c r="F106"/>
      <c r="G106"/>
      <c r="H106"/>
      <c r="I106"/>
      <c r="II106" s="83"/>
      <c r="IJ106" s="83"/>
      <c r="IK106" s="83"/>
      <c r="IL106" s="83"/>
      <c r="IM106" s="83"/>
      <c r="IN106" s="83"/>
      <c r="IO106" s="83"/>
      <c r="IP106" s="83"/>
      <c r="IQ106" s="83"/>
      <c r="IR106" s="83"/>
      <c r="IS106" s="83"/>
      <c r="IT106" s="83"/>
      <c r="IU106" s="83"/>
      <c r="IV106" s="83"/>
    </row>
    <row r="107" spans="1:256" x14ac:dyDescent="0.2">
      <c r="A107"/>
      <c r="B107"/>
      <c r="C107"/>
      <c r="D107"/>
      <c r="E107"/>
      <c r="F107"/>
      <c r="G107"/>
      <c r="H107"/>
      <c r="I107"/>
      <c r="II107" s="83"/>
      <c r="IJ107" s="83"/>
      <c r="IK107" s="83"/>
      <c r="IL107" s="83"/>
      <c r="IM107" s="83"/>
      <c r="IN107" s="83"/>
      <c r="IO107" s="83"/>
      <c r="IP107" s="83"/>
      <c r="IQ107" s="83"/>
      <c r="IR107" s="83"/>
      <c r="IS107" s="83"/>
      <c r="IT107" s="83"/>
      <c r="IU107" s="83"/>
      <c r="IV107" s="83"/>
    </row>
    <row r="108" spans="1:256" x14ac:dyDescent="0.2">
      <c r="A108"/>
      <c r="B108"/>
      <c r="C108"/>
      <c r="D108"/>
      <c r="E108"/>
      <c r="F108"/>
      <c r="G108"/>
      <c r="H108"/>
      <c r="I108"/>
      <c r="II108" s="83"/>
      <c r="IJ108" s="83"/>
      <c r="IK108" s="83"/>
      <c r="IL108" s="83"/>
      <c r="IM108" s="83"/>
      <c r="IN108" s="83"/>
      <c r="IO108" s="83"/>
      <c r="IP108" s="83"/>
      <c r="IQ108" s="83"/>
      <c r="IR108" s="83"/>
      <c r="IS108" s="83"/>
      <c r="IT108" s="83"/>
      <c r="IU108" s="83"/>
      <c r="IV108" s="83"/>
    </row>
    <row r="109" spans="1:256" x14ac:dyDescent="0.2">
      <c r="A109"/>
      <c r="B109"/>
      <c r="C109"/>
      <c r="D109"/>
      <c r="E109"/>
      <c r="F109"/>
      <c r="G109"/>
      <c r="H109"/>
      <c r="I109"/>
      <c r="II109" s="83"/>
      <c r="IJ109" s="83"/>
      <c r="IK109" s="83"/>
      <c r="IL109" s="83"/>
      <c r="IM109" s="83"/>
      <c r="IN109" s="83"/>
      <c r="IO109" s="83"/>
      <c r="IP109" s="83"/>
      <c r="IQ109" s="83"/>
      <c r="IR109" s="83"/>
      <c r="IS109" s="83"/>
      <c r="IT109" s="83"/>
      <c r="IU109" s="83"/>
      <c r="IV109" s="83"/>
    </row>
    <row r="110" spans="1:256" x14ac:dyDescent="0.2">
      <c r="A110"/>
      <c r="B110"/>
      <c r="C110"/>
      <c r="D110"/>
      <c r="E110"/>
      <c r="F110"/>
      <c r="G110"/>
      <c r="H110"/>
      <c r="I110"/>
      <c r="II110" s="83"/>
      <c r="IJ110" s="83"/>
      <c r="IK110" s="83"/>
      <c r="IL110" s="83"/>
      <c r="IM110" s="83"/>
      <c r="IN110" s="83"/>
      <c r="IO110" s="83"/>
      <c r="IP110" s="83"/>
      <c r="IQ110" s="83"/>
      <c r="IR110" s="83"/>
      <c r="IS110" s="83"/>
      <c r="IT110" s="83"/>
      <c r="IU110" s="83"/>
      <c r="IV110" s="83"/>
    </row>
    <row r="111" spans="1:256" x14ac:dyDescent="0.2">
      <c r="A111"/>
      <c r="B111"/>
      <c r="C111"/>
      <c r="D111"/>
      <c r="E111"/>
      <c r="F111"/>
      <c r="G111"/>
      <c r="H111"/>
      <c r="I111"/>
      <c r="II111" s="83"/>
      <c r="IJ111" s="83"/>
      <c r="IK111" s="83"/>
      <c r="IL111" s="83"/>
      <c r="IM111" s="83"/>
      <c r="IN111" s="83"/>
      <c r="IO111" s="83"/>
      <c r="IP111" s="83"/>
      <c r="IQ111" s="83"/>
      <c r="IR111" s="83"/>
      <c r="IS111" s="83"/>
      <c r="IT111" s="83"/>
      <c r="IU111" s="83"/>
      <c r="IV111" s="83"/>
    </row>
    <row r="112" spans="1:256" x14ac:dyDescent="0.2">
      <c r="A112"/>
      <c r="B112"/>
      <c r="C112"/>
      <c r="D112"/>
      <c r="E112"/>
      <c r="F112"/>
      <c r="G112"/>
      <c r="H112"/>
      <c r="I112"/>
      <c r="II112" s="83"/>
      <c r="IJ112" s="83"/>
      <c r="IK112" s="83"/>
      <c r="IL112" s="83"/>
      <c r="IM112" s="83"/>
      <c r="IN112" s="83"/>
      <c r="IO112" s="83"/>
      <c r="IP112" s="83"/>
      <c r="IQ112" s="83"/>
      <c r="IR112" s="83"/>
      <c r="IS112" s="83"/>
      <c r="IT112" s="83"/>
      <c r="IU112" s="83"/>
      <c r="IV112" s="83"/>
    </row>
    <row r="113" spans="1:256" x14ac:dyDescent="0.2">
      <c r="A113"/>
      <c r="B113"/>
      <c r="C113"/>
      <c r="D113"/>
      <c r="E113"/>
      <c r="F113"/>
      <c r="G113"/>
      <c r="H113"/>
      <c r="I113"/>
      <c r="II113" s="83"/>
      <c r="IJ113" s="83"/>
      <c r="IK113" s="83"/>
      <c r="IL113" s="83"/>
      <c r="IM113" s="83"/>
      <c r="IN113" s="83"/>
      <c r="IO113" s="83"/>
      <c r="IP113" s="83"/>
      <c r="IQ113" s="83"/>
      <c r="IR113" s="83"/>
      <c r="IS113" s="83"/>
      <c r="IT113" s="83"/>
      <c r="IU113" s="83"/>
      <c r="IV113" s="83"/>
    </row>
    <row r="114" spans="1:256" x14ac:dyDescent="0.2">
      <c r="A114"/>
      <c r="B114"/>
      <c r="C114"/>
      <c r="D114"/>
      <c r="E114"/>
      <c r="F114"/>
      <c r="G114"/>
      <c r="H114"/>
      <c r="I114"/>
      <c r="II114" s="83"/>
      <c r="IJ114" s="83"/>
      <c r="IK114" s="83"/>
      <c r="IL114" s="83"/>
      <c r="IM114" s="83"/>
      <c r="IN114" s="83"/>
      <c r="IO114" s="83"/>
      <c r="IP114" s="83"/>
      <c r="IQ114" s="83"/>
      <c r="IR114" s="83"/>
      <c r="IS114" s="83"/>
      <c r="IT114" s="83"/>
      <c r="IU114" s="83"/>
      <c r="IV114" s="83"/>
    </row>
    <row r="115" spans="1:256" x14ac:dyDescent="0.2">
      <c r="A115"/>
      <c r="B115"/>
      <c r="C115"/>
      <c r="D115"/>
      <c r="E115"/>
      <c r="F115"/>
      <c r="G115"/>
      <c r="H115"/>
      <c r="I115"/>
      <c r="II115" s="83"/>
      <c r="IJ115" s="83"/>
      <c r="IK115" s="83"/>
      <c r="IL115" s="83"/>
      <c r="IM115" s="83"/>
      <c r="IN115" s="83"/>
      <c r="IO115" s="83"/>
      <c r="IP115" s="83"/>
      <c r="IQ115" s="83"/>
      <c r="IR115" s="83"/>
      <c r="IS115" s="83"/>
      <c r="IT115" s="83"/>
      <c r="IU115" s="83"/>
      <c r="IV115" s="83"/>
    </row>
    <row r="116" spans="1:256" x14ac:dyDescent="0.2">
      <c r="A116"/>
      <c r="B116"/>
      <c r="C116"/>
      <c r="D116"/>
      <c r="E116"/>
      <c r="F116"/>
      <c r="G116"/>
      <c r="H116"/>
      <c r="I116"/>
      <c r="II116" s="83"/>
      <c r="IJ116" s="83"/>
      <c r="IK116" s="83"/>
      <c r="IL116" s="83"/>
      <c r="IM116" s="83"/>
      <c r="IN116" s="83"/>
      <c r="IO116" s="83"/>
      <c r="IP116" s="83"/>
      <c r="IQ116" s="83"/>
      <c r="IR116" s="83"/>
      <c r="IS116" s="83"/>
      <c r="IT116" s="83"/>
      <c r="IU116" s="83"/>
      <c r="IV116" s="83"/>
    </row>
    <row r="117" spans="1:256" x14ac:dyDescent="0.2">
      <c r="A117"/>
      <c r="B117"/>
      <c r="C117"/>
      <c r="D117"/>
      <c r="E117"/>
      <c r="F117"/>
      <c r="G117"/>
      <c r="H117"/>
      <c r="I117"/>
      <c r="II117" s="83"/>
      <c r="IJ117" s="83"/>
      <c r="IK117" s="83"/>
      <c r="IL117" s="83"/>
      <c r="IM117" s="83"/>
      <c r="IN117" s="83"/>
      <c r="IO117" s="83"/>
      <c r="IP117" s="83"/>
      <c r="IQ117" s="83"/>
      <c r="IR117" s="83"/>
      <c r="IS117" s="83"/>
      <c r="IT117" s="83"/>
      <c r="IU117" s="83"/>
      <c r="IV117" s="83"/>
    </row>
    <row r="118" spans="1:256" x14ac:dyDescent="0.2">
      <c r="A118"/>
      <c r="B118"/>
      <c r="C118"/>
      <c r="D118"/>
      <c r="E118"/>
      <c r="F118"/>
      <c r="G118"/>
      <c r="H118"/>
      <c r="I118"/>
      <c r="II118" s="83"/>
      <c r="IJ118" s="83"/>
      <c r="IK118" s="83"/>
      <c r="IL118" s="83"/>
      <c r="IM118" s="83"/>
      <c r="IN118" s="83"/>
      <c r="IO118" s="83"/>
      <c r="IP118" s="83"/>
      <c r="IQ118" s="83"/>
      <c r="IR118" s="83"/>
      <c r="IS118" s="83"/>
      <c r="IT118" s="83"/>
      <c r="IU118" s="83"/>
      <c r="IV118" s="83"/>
    </row>
    <row r="119" spans="1:256" x14ac:dyDescent="0.2">
      <c r="A119"/>
      <c r="B119"/>
      <c r="C119"/>
      <c r="D119"/>
      <c r="E119"/>
      <c r="F119"/>
      <c r="G119"/>
      <c r="H119"/>
      <c r="I119"/>
      <c r="II119" s="83"/>
      <c r="IJ119" s="83"/>
      <c r="IK119" s="83"/>
      <c r="IL119" s="83"/>
      <c r="IM119" s="83"/>
      <c r="IN119" s="83"/>
      <c r="IO119" s="83"/>
      <c r="IP119" s="83"/>
      <c r="IQ119" s="83"/>
      <c r="IR119" s="83"/>
      <c r="IS119" s="83"/>
      <c r="IT119" s="83"/>
      <c r="IU119" s="83"/>
      <c r="IV119" s="83"/>
    </row>
    <row r="120" spans="1:256" x14ac:dyDescent="0.2">
      <c r="A120"/>
      <c r="B120"/>
      <c r="C120"/>
      <c r="D120"/>
      <c r="E120"/>
      <c r="F120"/>
      <c r="G120"/>
      <c r="H120"/>
      <c r="I120"/>
      <c r="II120" s="83"/>
      <c r="IJ120" s="83"/>
      <c r="IK120" s="83"/>
      <c r="IL120" s="83"/>
      <c r="IM120" s="83"/>
      <c r="IN120" s="83"/>
      <c r="IO120" s="83"/>
      <c r="IP120" s="83"/>
      <c r="IQ120" s="83"/>
      <c r="IR120" s="83"/>
      <c r="IS120" s="83"/>
      <c r="IT120" s="83"/>
      <c r="IU120" s="83"/>
      <c r="IV120" s="83"/>
    </row>
    <row r="121" spans="1:256" x14ac:dyDescent="0.2">
      <c r="A121"/>
      <c r="B121"/>
      <c r="C121"/>
      <c r="D121"/>
      <c r="E121"/>
      <c r="F121"/>
      <c r="G121"/>
      <c r="H121"/>
      <c r="I121"/>
      <c r="II121" s="83"/>
      <c r="IJ121" s="83"/>
      <c r="IK121" s="83"/>
      <c r="IL121" s="83"/>
      <c r="IM121" s="83"/>
      <c r="IN121" s="83"/>
      <c r="IO121" s="83"/>
      <c r="IP121" s="83"/>
      <c r="IQ121" s="83"/>
      <c r="IR121" s="83"/>
      <c r="IS121" s="83"/>
      <c r="IT121" s="83"/>
      <c r="IU121" s="83"/>
      <c r="IV121" s="83"/>
    </row>
    <row r="122" spans="1:256" x14ac:dyDescent="0.2">
      <c r="A122"/>
      <c r="B122"/>
      <c r="C122"/>
      <c r="D122"/>
      <c r="E122"/>
      <c r="F122"/>
      <c r="G122"/>
      <c r="H122"/>
      <c r="I122"/>
      <c r="II122" s="83"/>
      <c r="IJ122" s="83"/>
      <c r="IK122" s="83"/>
      <c r="IL122" s="83"/>
      <c r="IM122" s="83"/>
      <c r="IN122" s="83"/>
      <c r="IO122" s="83"/>
      <c r="IP122" s="83"/>
      <c r="IQ122" s="83"/>
      <c r="IR122" s="83"/>
      <c r="IS122" s="83"/>
      <c r="IT122" s="83"/>
      <c r="IU122" s="83"/>
      <c r="IV122" s="83"/>
    </row>
    <row r="123" spans="1:256" x14ac:dyDescent="0.2">
      <c r="A123"/>
      <c r="B123"/>
      <c r="C123"/>
      <c r="D123"/>
      <c r="E123"/>
      <c r="F123"/>
      <c r="G123"/>
      <c r="H123"/>
      <c r="I123"/>
      <c r="II123" s="83"/>
      <c r="IJ123" s="83"/>
      <c r="IK123" s="83"/>
      <c r="IL123" s="83"/>
      <c r="IM123" s="83"/>
      <c r="IN123" s="83"/>
      <c r="IO123" s="83"/>
      <c r="IP123" s="83"/>
      <c r="IQ123" s="83"/>
      <c r="IR123" s="83"/>
      <c r="IS123" s="83"/>
      <c r="IT123" s="83"/>
      <c r="IU123" s="83"/>
      <c r="IV123" s="83"/>
    </row>
    <row r="124" spans="1:256" x14ac:dyDescent="0.2">
      <c r="A124"/>
      <c r="B124"/>
      <c r="C124"/>
      <c r="D124"/>
      <c r="E124"/>
      <c r="F124"/>
      <c r="G124"/>
      <c r="H124"/>
      <c r="I124"/>
      <c r="II124" s="83"/>
      <c r="IJ124" s="83"/>
      <c r="IK124" s="83"/>
      <c r="IL124" s="83"/>
      <c r="IM124" s="83"/>
      <c r="IN124" s="83"/>
      <c r="IO124" s="83"/>
      <c r="IP124" s="83"/>
      <c r="IQ124" s="83"/>
      <c r="IR124" s="83"/>
      <c r="IS124" s="83"/>
      <c r="IT124" s="83"/>
      <c r="IU124" s="83"/>
      <c r="IV124" s="83"/>
    </row>
    <row r="125" spans="1:256" x14ac:dyDescent="0.2">
      <c r="A125"/>
      <c r="B125"/>
      <c r="C125"/>
      <c r="D125"/>
      <c r="E125"/>
      <c r="F125"/>
      <c r="G125"/>
      <c r="H125"/>
      <c r="I125"/>
      <c r="II125" s="83"/>
      <c r="IJ125" s="83"/>
      <c r="IK125" s="83"/>
      <c r="IL125" s="83"/>
      <c r="IM125" s="83"/>
      <c r="IN125" s="83"/>
      <c r="IO125" s="83"/>
      <c r="IP125" s="83"/>
      <c r="IQ125" s="83"/>
      <c r="IR125" s="83"/>
      <c r="IS125" s="83"/>
      <c r="IT125" s="83"/>
      <c r="IU125" s="83"/>
      <c r="IV125" s="83"/>
    </row>
    <row r="126" spans="1:256" x14ac:dyDescent="0.2">
      <c r="A126"/>
      <c r="B126"/>
      <c r="C126"/>
      <c r="D126"/>
      <c r="E126"/>
      <c r="F126"/>
      <c r="G126"/>
      <c r="H126"/>
      <c r="I126"/>
      <c r="II126" s="83"/>
      <c r="IJ126" s="83"/>
      <c r="IK126" s="83"/>
      <c r="IL126" s="83"/>
      <c r="IM126" s="83"/>
      <c r="IN126" s="83"/>
      <c r="IO126" s="83"/>
      <c r="IP126" s="83"/>
      <c r="IQ126" s="83"/>
      <c r="IR126" s="83"/>
      <c r="IS126" s="83"/>
      <c r="IT126" s="83"/>
      <c r="IU126" s="83"/>
      <c r="IV126" s="83"/>
    </row>
    <row r="127" spans="1:256" x14ac:dyDescent="0.2">
      <c r="A127"/>
      <c r="B127"/>
      <c r="C127"/>
      <c r="D127"/>
      <c r="E127"/>
      <c r="F127"/>
      <c r="G127"/>
      <c r="H127"/>
      <c r="I127"/>
      <c r="II127" s="83"/>
      <c r="IJ127" s="83"/>
      <c r="IK127" s="83"/>
      <c r="IL127" s="83"/>
      <c r="IM127" s="83"/>
      <c r="IN127" s="83"/>
      <c r="IO127" s="83"/>
      <c r="IP127" s="83"/>
      <c r="IQ127" s="83"/>
      <c r="IR127" s="83"/>
      <c r="IS127" s="83"/>
      <c r="IT127" s="83"/>
      <c r="IU127" s="83"/>
      <c r="IV127" s="83"/>
    </row>
    <row r="128" spans="1:256" x14ac:dyDescent="0.2">
      <c r="A128"/>
      <c r="B128"/>
      <c r="C128"/>
      <c r="D128"/>
      <c r="E128"/>
      <c r="F128"/>
      <c r="G128"/>
      <c r="H128"/>
      <c r="I128"/>
      <c r="II128" s="83"/>
      <c r="IJ128" s="83"/>
      <c r="IK128" s="83"/>
      <c r="IL128" s="83"/>
      <c r="IM128" s="83"/>
      <c r="IN128" s="83"/>
      <c r="IO128" s="83"/>
      <c r="IP128" s="83"/>
      <c r="IQ128" s="83"/>
      <c r="IR128" s="83"/>
      <c r="IS128" s="83"/>
      <c r="IT128" s="83"/>
      <c r="IU128" s="83"/>
      <c r="IV128" s="83"/>
    </row>
    <row r="129" spans="1:256" x14ac:dyDescent="0.2">
      <c r="A129"/>
      <c r="B129"/>
      <c r="C129"/>
      <c r="D129"/>
      <c r="E129"/>
      <c r="F129"/>
      <c r="G129"/>
      <c r="H129"/>
      <c r="I129"/>
      <c r="II129" s="83"/>
      <c r="IJ129" s="83"/>
      <c r="IK129" s="83"/>
      <c r="IL129" s="83"/>
      <c r="IM129" s="83"/>
      <c r="IN129" s="83"/>
      <c r="IO129" s="83"/>
      <c r="IP129" s="83"/>
      <c r="IQ129" s="83"/>
      <c r="IR129" s="83"/>
      <c r="IS129" s="83"/>
      <c r="IT129" s="83"/>
      <c r="IU129" s="83"/>
      <c r="IV129" s="83"/>
    </row>
    <row r="130" spans="1:256" x14ac:dyDescent="0.2">
      <c r="A130"/>
      <c r="B130"/>
      <c r="C130"/>
      <c r="D130"/>
      <c r="E130"/>
      <c r="F130"/>
      <c r="G130"/>
      <c r="H130"/>
      <c r="I130"/>
      <c r="II130" s="83"/>
      <c r="IJ130" s="83"/>
      <c r="IK130" s="83"/>
      <c r="IL130" s="83"/>
      <c r="IM130" s="83"/>
      <c r="IN130" s="83"/>
      <c r="IO130" s="83"/>
      <c r="IP130" s="83"/>
      <c r="IQ130" s="83"/>
      <c r="IR130" s="83"/>
      <c r="IS130" s="83"/>
      <c r="IT130" s="83"/>
      <c r="IU130" s="83"/>
      <c r="IV130" s="83"/>
    </row>
    <row r="131" spans="1:256" x14ac:dyDescent="0.2">
      <c r="A131"/>
      <c r="B131"/>
      <c r="C131"/>
      <c r="D131"/>
      <c r="E131"/>
      <c r="F131"/>
      <c r="G131"/>
      <c r="H131"/>
      <c r="I131"/>
      <c r="II131" s="83"/>
      <c r="IJ131" s="83"/>
      <c r="IK131" s="83"/>
      <c r="IL131" s="83"/>
      <c r="IM131" s="83"/>
      <c r="IN131" s="83"/>
      <c r="IO131" s="83"/>
      <c r="IP131" s="83"/>
      <c r="IQ131" s="83"/>
      <c r="IR131" s="83"/>
      <c r="IS131" s="83"/>
      <c r="IT131" s="83"/>
      <c r="IU131" s="83"/>
      <c r="IV131" s="83"/>
    </row>
    <row r="132" spans="1:256" x14ac:dyDescent="0.2">
      <c r="A132"/>
      <c r="B132"/>
      <c r="C132"/>
      <c r="D132"/>
      <c r="E132"/>
      <c r="F132"/>
      <c r="G132"/>
      <c r="H132"/>
      <c r="I132"/>
      <c r="II132" s="83"/>
      <c r="IJ132" s="83"/>
      <c r="IK132" s="83"/>
      <c r="IL132" s="83"/>
      <c r="IM132" s="83"/>
      <c r="IN132" s="83"/>
      <c r="IO132" s="83"/>
      <c r="IP132" s="83"/>
      <c r="IQ132" s="83"/>
      <c r="IR132" s="83"/>
      <c r="IS132" s="83"/>
      <c r="IT132" s="83"/>
      <c r="IU132" s="83"/>
      <c r="IV132" s="83"/>
    </row>
    <row r="133" spans="1:256" x14ac:dyDescent="0.2">
      <c r="A133"/>
      <c r="B133"/>
      <c r="C133"/>
      <c r="D133"/>
      <c r="E133"/>
      <c r="F133"/>
      <c r="G133"/>
      <c r="H133"/>
      <c r="I133"/>
      <c r="II133" s="83"/>
      <c r="IJ133" s="83"/>
      <c r="IK133" s="83"/>
      <c r="IL133" s="83"/>
      <c r="IM133" s="83"/>
      <c r="IN133" s="83"/>
      <c r="IO133" s="83"/>
      <c r="IP133" s="83"/>
      <c r="IQ133" s="83"/>
      <c r="IR133" s="83"/>
      <c r="IS133" s="83"/>
      <c r="IT133" s="83"/>
      <c r="IU133" s="83"/>
      <c r="IV133" s="83"/>
    </row>
    <row r="134" spans="1:256" x14ac:dyDescent="0.2">
      <c r="A134"/>
      <c r="B134"/>
      <c r="C134"/>
      <c r="D134"/>
      <c r="E134"/>
      <c r="F134"/>
      <c r="G134"/>
      <c r="H134"/>
      <c r="I134"/>
      <c r="II134" s="83"/>
      <c r="IJ134" s="83"/>
      <c r="IK134" s="83"/>
      <c r="IL134" s="83"/>
      <c r="IM134" s="83"/>
      <c r="IN134" s="83"/>
      <c r="IO134" s="83"/>
      <c r="IP134" s="83"/>
      <c r="IQ134" s="83"/>
      <c r="IR134" s="83"/>
      <c r="IS134" s="83"/>
      <c r="IT134" s="83"/>
      <c r="IU134" s="83"/>
      <c r="IV134" s="83"/>
    </row>
    <row r="135" spans="1:256" x14ac:dyDescent="0.2">
      <c r="A135"/>
      <c r="B135"/>
      <c r="C135"/>
      <c r="D135"/>
      <c r="E135"/>
      <c r="F135"/>
      <c r="G135"/>
      <c r="H135"/>
      <c r="I135"/>
      <c r="II135" s="83"/>
      <c r="IJ135" s="83"/>
      <c r="IK135" s="83"/>
      <c r="IL135" s="83"/>
      <c r="IM135" s="83"/>
      <c r="IN135" s="83"/>
      <c r="IO135" s="83"/>
      <c r="IP135" s="83"/>
      <c r="IQ135" s="83"/>
      <c r="IR135" s="83"/>
      <c r="IS135" s="83"/>
      <c r="IT135" s="83"/>
      <c r="IU135" s="83"/>
      <c r="IV135" s="83"/>
    </row>
    <row r="136" spans="1:256" x14ac:dyDescent="0.2">
      <c r="A136"/>
      <c r="B136"/>
      <c r="C136"/>
      <c r="D136"/>
      <c r="E136"/>
      <c r="F136"/>
      <c r="G136"/>
      <c r="H136"/>
      <c r="I136"/>
      <c r="II136" s="83"/>
      <c r="IJ136" s="83"/>
      <c r="IK136" s="83"/>
      <c r="IL136" s="83"/>
      <c r="IM136" s="83"/>
      <c r="IN136" s="83"/>
      <c r="IO136" s="83"/>
      <c r="IP136" s="83"/>
      <c r="IQ136" s="83"/>
      <c r="IR136" s="83"/>
      <c r="IS136" s="83"/>
      <c r="IT136" s="83"/>
      <c r="IU136" s="83"/>
      <c r="IV136" s="83"/>
    </row>
    <row r="137" spans="1:256" x14ac:dyDescent="0.2">
      <c r="A137"/>
      <c r="B137"/>
      <c r="C137"/>
      <c r="D137"/>
      <c r="E137"/>
      <c r="F137"/>
      <c r="G137"/>
      <c r="H137"/>
      <c r="I137"/>
      <c r="II137" s="83"/>
      <c r="IJ137" s="83"/>
      <c r="IK137" s="83"/>
      <c r="IL137" s="83"/>
      <c r="IM137" s="83"/>
      <c r="IN137" s="83"/>
      <c r="IO137" s="83"/>
      <c r="IP137" s="83"/>
      <c r="IQ137" s="83"/>
      <c r="IR137" s="83"/>
      <c r="IS137" s="83"/>
      <c r="IT137" s="83"/>
      <c r="IU137" s="83"/>
      <c r="IV137" s="83"/>
    </row>
    <row r="138" spans="1:256" x14ac:dyDescent="0.2">
      <c r="A138"/>
      <c r="B138"/>
      <c r="C138"/>
      <c r="D138"/>
      <c r="E138"/>
      <c r="F138"/>
      <c r="G138"/>
      <c r="H138"/>
      <c r="I138"/>
      <c r="II138" s="83"/>
      <c r="IJ138" s="83"/>
      <c r="IK138" s="83"/>
      <c r="IL138" s="83"/>
      <c r="IM138" s="83"/>
      <c r="IN138" s="83"/>
      <c r="IO138" s="83"/>
      <c r="IP138" s="83"/>
      <c r="IQ138" s="83"/>
      <c r="IR138" s="83"/>
      <c r="IS138" s="83"/>
      <c r="IT138" s="83"/>
      <c r="IU138" s="83"/>
      <c r="IV138" s="83"/>
    </row>
    <row r="139" spans="1:256" x14ac:dyDescent="0.2">
      <c r="A139"/>
      <c r="B139"/>
      <c r="C139"/>
      <c r="D139"/>
      <c r="E139"/>
      <c r="F139"/>
      <c r="G139"/>
      <c r="H139"/>
      <c r="I139"/>
      <c r="II139" s="83"/>
      <c r="IJ139" s="83"/>
      <c r="IK139" s="83"/>
      <c r="IL139" s="83"/>
      <c r="IM139" s="83"/>
      <c r="IN139" s="83"/>
      <c r="IO139" s="83"/>
      <c r="IP139" s="83"/>
      <c r="IQ139" s="83"/>
      <c r="IR139" s="83"/>
      <c r="IS139" s="83"/>
      <c r="IT139" s="83"/>
      <c r="IU139" s="83"/>
      <c r="IV139" s="83"/>
    </row>
    <row r="140" spans="1:256" x14ac:dyDescent="0.2">
      <c r="A140"/>
      <c r="B140"/>
      <c r="C140"/>
      <c r="D140"/>
      <c r="E140"/>
      <c r="F140"/>
      <c r="G140"/>
      <c r="H140"/>
      <c r="I140"/>
      <c r="II140" s="83"/>
      <c r="IJ140" s="83"/>
      <c r="IK140" s="83"/>
      <c r="IL140" s="83"/>
      <c r="IM140" s="83"/>
      <c r="IN140" s="83"/>
      <c r="IO140" s="83"/>
      <c r="IP140" s="83"/>
      <c r="IQ140" s="83"/>
      <c r="IR140" s="83"/>
      <c r="IS140" s="83"/>
      <c r="IT140" s="83"/>
      <c r="IU140" s="83"/>
      <c r="IV140" s="83"/>
    </row>
    <row r="141" spans="1:256" x14ac:dyDescent="0.2">
      <c r="A141"/>
      <c r="B141"/>
      <c r="C141"/>
      <c r="D141"/>
      <c r="E141"/>
      <c r="F141"/>
      <c r="G141"/>
      <c r="H141"/>
      <c r="I141"/>
      <c r="II141" s="83"/>
      <c r="IJ141" s="83"/>
      <c r="IK141" s="83"/>
      <c r="IL141" s="83"/>
      <c r="IM141" s="83"/>
      <c r="IN141" s="83"/>
      <c r="IO141" s="83"/>
      <c r="IP141" s="83"/>
      <c r="IQ141" s="83"/>
      <c r="IR141" s="83"/>
      <c r="IS141" s="83"/>
      <c r="IT141" s="83"/>
      <c r="IU141" s="83"/>
      <c r="IV141" s="83"/>
    </row>
    <row r="142" spans="1:256" x14ac:dyDescent="0.2">
      <c r="A142"/>
      <c r="B142"/>
      <c r="C142"/>
      <c r="D142"/>
      <c r="E142"/>
      <c r="F142"/>
      <c r="G142"/>
      <c r="H142"/>
      <c r="I142"/>
      <c r="II142" s="83"/>
      <c r="IJ142" s="83"/>
      <c r="IK142" s="83"/>
      <c r="IL142" s="83"/>
      <c r="IM142" s="83"/>
      <c r="IN142" s="83"/>
      <c r="IO142" s="83"/>
      <c r="IP142" s="83"/>
      <c r="IQ142" s="83"/>
      <c r="IR142" s="83"/>
      <c r="IS142" s="83"/>
      <c r="IT142" s="83"/>
      <c r="IU142" s="83"/>
      <c r="IV142" s="83"/>
    </row>
    <row r="143" spans="1:256" x14ac:dyDescent="0.2">
      <c r="A143"/>
      <c r="B143"/>
      <c r="C143"/>
      <c r="D143"/>
      <c r="E143"/>
      <c r="F143"/>
      <c r="G143"/>
      <c r="H143"/>
      <c r="I143"/>
      <c r="II143" s="83"/>
      <c r="IJ143" s="83"/>
      <c r="IK143" s="83"/>
      <c r="IL143" s="83"/>
      <c r="IM143" s="83"/>
      <c r="IN143" s="83"/>
      <c r="IO143" s="83"/>
      <c r="IP143" s="83"/>
      <c r="IQ143" s="83"/>
      <c r="IR143" s="83"/>
      <c r="IS143" s="83"/>
      <c r="IT143" s="83"/>
      <c r="IU143" s="83"/>
      <c r="IV143" s="83"/>
    </row>
    <row r="144" spans="1:256" x14ac:dyDescent="0.2">
      <c r="A144"/>
      <c r="B144"/>
      <c r="C144"/>
      <c r="D144"/>
      <c r="E144"/>
      <c r="F144"/>
      <c r="G144"/>
      <c r="H144"/>
      <c r="I144"/>
      <c r="II144" s="83"/>
      <c r="IJ144" s="83"/>
      <c r="IK144" s="83"/>
      <c r="IL144" s="83"/>
      <c r="IM144" s="83"/>
      <c r="IN144" s="83"/>
      <c r="IO144" s="83"/>
      <c r="IP144" s="83"/>
      <c r="IQ144" s="83"/>
      <c r="IR144" s="83"/>
      <c r="IS144" s="83"/>
      <c r="IT144" s="83"/>
      <c r="IU144" s="83"/>
      <c r="IV144" s="83"/>
    </row>
    <row r="145" spans="1:256" x14ac:dyDescent="0.2">
      <c r="A145"/>
      <c r="B145"/>
      <c r="C145"/>
      <c r="D145"/>
      <c r="E145"/>
      <c r="F145"/>
      <c r="G145"/>
      <c r="H145"/>
      <c r="I145"/>
      <c r="II145" s="83"/>
      <c r="IJ145" s="83"/>
      <c r="IK145" s="83"/>
      <c r="IL145" s="83"/>
      <c r="IM145" s="83"/>
      <c r="IN145" s="83"/>
      <c r="IO145" s="83"/>
      <c r="IP145" s="83"/>
      <c r="IQ145" s="83"/>
      <c r="IR145" s="83"/>
      <c r="IS145" s="83"/>
      <c r="IT145" s="83"/>
      <c r="IU145" s="83"/>
      <c r="IV145" s="83"/>
    </row>
    <row r="146" spans="1:256" x14ac:dyDescent="0.2">
      <c r="A146"/>
      <c r="B146"/>
      <c r="C146"/>
      <c r="D146"/>
      <c r="E146"/>
      <c r="F146"/>
      <c r="G146"/>
      <c r="H146"/>
      <c r="I146"/>
      <c r="II146" s="83"/>
      <c r="IJ146" s="83"/>
      <c r="IK146" s="83"/>
      <c r="IL146" s="83"/>
      <c r="IM146" s="83"/>
      <c r="IN146" s="83"/>
      <c r="IO146" s="83"/>
      <c r="IP146" s="83"/>
      <c r="IQ146" s="83"/>
      <c r="IR146" s="83"/>
      <c r="IS146" s="83"/>
      <c r="IT146" s="83"/>
      <c r="IU146" s="83"/>
      <c r="IV146" s="83"/>
    </row>
    <row r="147" spans="1:256" x14ac:dyDescent="0.2">
      <c r="A147"/>
      <c r="B147"/>
      <c r="C147"/>
      <c r="D147"/>
      <c r="E147"/>
      <c r="F147"/>
      <c r="G147"/>
      <c r="H147"/>
      <c r="I147"/>
      <c r="II147" s="83"/>
      <c r="IJ147" s="83"/>
      <c r="IK147" s="83"/>
      <c r="IL147" s="83"/>
      <c r="IM147" s="83"/>
      <c r="IN147" s="83"/>
      <c r="IO147" s="83"/>
      <c r="IP147" s="83"/>
      <c r="IQ147" s="83"/>
      <c r="IR147" s="83"/>
      <c r="IS147" s="83"/>
      <c r="IT147" s="83"/>
      <c r="IU147" s="83"/>
      <c r="IV147" s="83"/>
    </row>
    <row r="148" spans="1:256" x14ac:dyDescent="0.2">
      <c r="A148"/>
      <c r="B148"/>
      <c r="C148"/>
      <c r="D148"/>
      <c r="E148"/>
      <c r="F148"/>
      <c r="G148"/>
      <c r="H148"/>
      <c r="I148"/>
      <c r="II148" s="83"/>
      <c r="IJ148" s="83"/>
      <c r="IK148" s="83"/>
      <c r="IL148" s="83"/>
      <c r="IM148" s="83"/>
      <c r="IN148" s="83"/>
      <c r="IO148" s="83"/>
      <c r="IP148" s="83"/>
      <c r="IQ148" s="83"/>
      <c r="IR148" s="83"/>
      <c r="IS148" s="83"/>
      <c r="IT148" s="83"/>
      <c r="IU148" s="83"/>
      <c r="IV148" s="83"/>
    </row>
    <row r="149" spans="1:256" x14ac:dyDescent="0.2">
      <c r="A149"/>
      <c r="B149"/>
      <c r="C149"/>
      <c r="D149"/>
      <c r="E149"/>
      <c r="F149"/>
      <c r="G149"/>
      <c r="H149"/>
      <c r="I149"/>
      <c r="II149" s="83"/>
      <c r="IJ149" s="83"/>
      <c r="IK149" s="83"/>
      <c r="IL149" s="83"/>
      <c r="IM149" s="83"/>
      <c r="IN149" s="83"/>
      <c r="IO149" s="83"/>
      <c r="IP149" s="83"/>
      <c r="IQ149" s="83"/>
      <c r="IR149" s="83"/>
      <c r="IS149" s="83"/>
      <c r="IT149" s="83"/>
      <c r="IU149" s="83"/>
      <c r="IV149" s="83"/>
    </row>
    <row r="150" spans="1:256" x14ac:dyDescent="0.2">
      <c r="A150"/>
      <c r="B150"/>
      <c r="C150"/>
      <c r="D150"/>
      <c r="E150"/>
      <c r="F150"/>
      <c r="G150"/>
      <c r="H150"/>
      <c r="I150"/>
      <c r="II150" s="83"/>
      <c r="IJ150" s="83"/>
      <c r="IK150" s="83"/>
      <c r="IL150" s="83"/>
      <c r="IM150" s="83"/>
      <c r="IN150" s="83"/>
      <c r="IO150" s="83"/>
      <c r="IP150" s="83"/>
      <c r="IQ150" s="83"/>
      <c r="IR150" s="83"/>
      <c r="IS150" s="83"/>
      <c r="IT150" s="83"/>
      <c r="IU150" s="83"/>
      <c r="IV150" s="83"/>
    </row>
    <row r="151" spans="1:256" x14ac:dyDescent="0.2">
      <c r="A151"/>
      <c r="B151"/>
      <c r="C151"/>
      <c r="D151"/>
      <c r="E151"/>
      <c r="F151"/>
      <c r="G151"/>
      <c r="H151"/>
      <c r="I151"/>
      <c r="II151" s="83"/>
      <c r="IJ151" s="83"/>
      <c r="IK151" s="83"/>
      <c r="IL151" s="83"/>
      <c r="IM151" s="83"/>
      <c r="IN151" s="83"/>
      <c r="IO151" s="83"/>
      <c r="IP151" s="83"/>
      <c r="IQ151" s="83"/>
      <c r="IR151" s="83"/>
      <c r="IS151" s="83"/>
      <c r="IT151" s="83"/>
      <c r="IU151" s="83"/>
      <c r="IV151" s="83"/>
    </row>
    <row r="152" spans="1:256" x14ac:dyDescent="0.2">
      <c r="A152"/>
      <c r="B152"/>
      <c r="C152"/>
      <c r="D152"/>
      <c r="E152"/>
      <c r="F152"/>
      <c r="G152"/>
      <c r="H152"/>
      <c r="I152"/>
      <c r="II152" s="83"/>
      <c r="IJ152" s="83"/>
      <c r="IK152" s="83"/>
      <c r="IL152" s="83"/>
      <c r="IM152" s="83"/>
      <c r="IN152" s="83"/>
      <c r="IO152" s="83"/>
      <c r="IP152" s="83"/>
      <c r="IQ152" s="83"/>
      <c r="IR152" s="83"/>
      <c r="IS152" s="83"/>
      <c r="IT152" s="83"/>
      <c r="IU152" s="83"/>
      <c r="IV152" s="83"/>
    </row>
    <row r="153" spans="1:256" x14ac:dyDescent="0.2">
      <c r="A153"/>
      <c r="B153"/>
      <c r="C153"/>
      <c r="D153"/>
      <c r="E153"/>
      <c r="F153"/>
      <c r="G153"/>
      <c r="H153"/>
      <c r="I153"/>
      <c r="II153" s="83"/>
      <c r="IJ153" s="83"/>
      <c r="IK153" s="83"/>
      <c r="IL153" s="83"/>
      <c r="IM153" s="83"/>
      <c r="IN153" s="83"/>
      <c r="IO153" s="83"/>
      <c r="IP153" s="83"/>
      <c r="IQ153" s="83"/>
      <c r="IR153" s="83"/>
      <c r="IS153" s="83"/>
      <c r="IT153" s="83"/>
      <c r="IU153" s="83"/>
      <c r="IV153" s="83"/>
    </row>
    <row r="154" spans="1:256" x14ac:dyDescent="0.2">
      <c r="A154"/>
      <c r="B154"/>
      <c r="C154"/>
      <c r="D154"/>
      <c r="E154"/>
      <c r="F154"/>
      <c r="G154"/>
      <c r="H154"/>
      <c r="I154"/>
      <c r="II154" s="83"/>
      <c r="IJ154" s="83"/>
      <c r="IK154" s="83"/>
      <c r="IL154" s="83"/>
      <c r="IM154" s="83"/>
      <c r="IN154" s="83"/>
      <c r="IO154" s="83"/>
      <c r="IP154" s="83"/>
      <c r="IQ154" s="83"/>
      <c r="IR154" s="83"/>
      <c r="IS154" s="83"/>
      <c r="IT154" s="83"/>
      <c r="IU154" s="83"/>
      <c r="IV154" s="83"/>
    </row>
    <row r="155" spans="1:256" x14ac:dyDescent="0.2">
      <c r="A155"/>
      <c r="B155"/>
      <c r="C155"/>
      <c r="D155"/>
      <c r="E155"/>
      <c r="F155"/>
      <c r="G155"/>
      <c r="H155"/>
      <c r="I155"/>
      <c r="II155" s="83"/>
      <c r="IJ155" s="83"/>
      <c r="IK155" s="83"/>
      <c r="IL155" s="83"/>
      <c r="IM155" s="83"/>
      <c r="IN155" s="83"/>
      <c r="IO155" s="83"/>
      <c r="IP155" s="83"/>
      <c r="IQ155" s="83"/>
      <c r="IR155" s="83"/>
      <c r="IS155" s="83"/>
      <c r="IT155" s="83"/>
      <c r="IU155" s="83"/>
      <c r="IV155" s="83"/>
    </row>
    <row r="156" spans="1:256" x14ac:dyDescent="0.2">
      <c r="A156"/>
      <c r="B156"/>
      <c r="C156"/>
      <c r="D156"/>
      <c r="E156"/>
      <c r="F156"/>
      <c r="G156"/>
      <c r="H156"/>
      <c r="I156"/>
      <c r="II156" s="83"/>
      <c r="IJ156" s="83"/>
      <c r="IK156" s="83"/>
      <c r="IL156" s="83"/>
      <c r="IM156" s="83"/>
      <c r="IN156" s="83"/>
      <c r="IO156" s="83"/>
      <c r="IP156" s="83"/>
      <c r="IQ156" s="83"/>
      <c r="IR156" s="83"/>
      <c r="IS156" s="83"/>
      <c r="IT156" s="83"/>
      <c r="IU156" s="83"/>
      <c r="IV156" s="83"/>
    </row>
    <row r="157" spans="1:256" x14ac:dyDescent="0.2">
      <c r="A157"/>
      <c r="B157"/>
      <c r="C157"/>
      <c r="D157"/>
      <c r="E157"/>
      <c r="F157"/>
      <c r="G157"/>
      <c r="H157"/>
      <c r="I157"/>
      <c r="II157" s="83"/>
      <c r="IJ157" s="83"/>
      <c r="IK157" s="83"/>
      <c r="IL157" s="83"/>
      <c r="IM157" s="83"/>
      <c r="IN157" s="83"/>
      <c r="IO157" s="83"/>
      <c r="IP157" s="83"/>
      <c r="IQ157" s="83"/>
      <c r="IR157" s="83"/>
      <c r="IS157" s="83"/>
      <c r="IT157" s="83"/>
      <c r="IU157" s="83"/>
      <c r="IV157" s="83"/>
    </row>
    <row r="158" spans="1:256" x14ac:dyDescent="0.2">
      <c r="A158"/>
      <c r="B158"/>
      <c r="C158"/>
      <c r="D158"/>
      <c r="E158"/>
      <c r="F158"/>
      <c r="G158"/>
      <c r="H158"/>
      <c r="I158"/>
      <c r="II158" s="83"/>
      <c r="IJ158" s="83"/>
      <c r="IK158" s="83"/>
      <c r="IL158" s="83"/>
      <c r="IM158" s="83"/>
      <c r="IN158" s="83"/>
      <c r="IO158" s="83"/>
      <c r="IP158" s="83"/>
      <c r="IQ158" s="83"/>
      <c r="IR158" s="83"/>
      <c r="IS158" s="83"/>
      <c r="IT158" s="83"/>
      <c r="IU158" s="83"/>
      <c r="IV158" s="83"/>
    </row>
    <row r="159" spans="1:256" x14ac:dyDescent="0.2">
      <c r="A159"/>
      <c r="B159"/>
      <c r="C159"/>
      <c r="D159"/>
      <c r="E159"/>
      <c r="F159"/>
      <c r="G159"/>
      <c r="H159"/>
      <c r="I159"/>
      <c r="II159" s="83"/>
      <c r="IJ159" s="83"/>
      <c r="IK159" s="83"/>
      <c r="IL159" s="83"/>
      <c r="IM159" s="83"/>
      <c r="IN159" s="83"/>
      <c r="IO159" s="83"/>
      <c r="IP159" s="83"/>
      <c r="IQ159" s="83"/>
      <c r="IR159" s="83"/>
      <c r="IS159" s="83"/>
      <c r="IT159" s="83"/>
      <c r="IU159" s="83"/>
      <c r="IV159" s="83"/>
    </row>
    <row r="160" spans="1:256" x14ac:dyDescent="0.2">
      <c r="A160"/>
      <c r="B160"/>
      <c r="C160"/>
      <c r="D160"/>
      <c r="E160"/>
      <c r="F160"/>
      <c r="G160"/>
      <c r="H160"/>
      <c r="I160"/>
      <c r="II160" s="83"/>
      <c r="IJ160" s="83"/>
      <c r="IK160" s="83"/>
      <c r="IL160" s="83"/>
      <c r="IM160" s="83"/>
      <c r="IN160" s="83"/>
      <c r="IO160" s="83"/>
      <c r="IP160" s="83"/>
      <c r="IQ160" s="83"/>
      <c r="IR160" s="83"/>
      <c r="IS160" s="83"/>
      <c r="IT160" s="83"/>
      <c r="IU160" s="83"/>
      <c r="IV160" s="83"/>
    </row>
    <row r="161" spans="1:256" x14ac:dyDescent="0.2">
      <c r="A161"/>
      <c r="B161"/>
      <c r="C161"/>
      <c r="D161"/>
      <c r="E161"/>
      <c r="F161"/>
      <c r="G161"/>
      <c r="H161"/>
      <c r="I161"/>
      <c r="II161" s="83"/>
      <c r="IJ161" s="83"/>
      <c r="IK161" s="83"/>
      <c r="IL161" s="83"/>
      <c r="IM161" s="83"/>
      <c r="IN161" s="83"/>
      <c r="IO161" s="83"/>
      <c r="IP161" s="83"/>
      <c r="IQ161" s="83"/>
      <c r="IR161" s="83"/>
      <c r="IS161" s="83"/>
      <c r="IT161" s="83"/>
      <c r="IU161" s="83"/>
      <c r="IV161" s="83"/>
    </row>
    <row r="162" spans="1:256" x14ac:dyDescent="0.2">
      <c r="A162"/>
      <c r="B162"/>
      <c r="C162"/>
      <c r="D162"/>
      <c r="E162"/>
      <c r="F162"/>
      <c r="G162"/>
      <c r="H162"/>
      <c r="I162"/>
      <c r="II162" s="83"/>
      <c r="IJ162" s="83"/>
      <c r="IK162" s="83"/>
      <c r="IL162" s="83"/>
      <c r="IM162" s="83"/>
      <c r="IN162" s="83"/>
      <c r="IO162" s="83"/>
      <c r="IP162" s="83"/>
      <c r="IQ162" s="83"/>
      <c r="IR162" s="83"/>
      <c r="IS162" s="83"/>
      <c r="IT162" s="83"/>
      <c r="IU162" s="83"/>
      <c r="IV162" s="83"/>
    </row>
    <row r="163" spans="1:256" x14ac:dyDescent="0.2">
      <c r="A163"/>
      <c r="B163"/>
      <c r="C163"/>
      <c r="D163"/>
      <c r="E163"/>
      <c r="F163"/>
      <c r="G163"/>
      <c r="H163"/>
      <c r="I163"/>
      <c r="II163" s="83"/>
      <c r="IJ163" s="83"/>
      <c r="IK163" s="83"/>
      <c r="IL163" s="83"/>
      <c r="IM163" s="83"/>
      <c r="IN163" s="83"/>
      <c r="IO163" s="83"/>
      <c r="IP163" s="83"/>
      <c r="IQ163" s="83"/>
      <c r="IR163" s="83"/>
      <c r="IS163" s="83"/>
      <c r="IT163" s="83"/>
      <c r="IU163" s="83"/>
      <c r="IV163" s="83"/>
    </row>
    <row r="164" spans="1:256" x14ac:dyDescent="0.2">
      <c r="A164"/>
      <c r="B164"/>
      <c r="C164"/>
      <c r="D164"/>
      <c r="E164"/>
      <c r="F164"/>
      <c r="G164"/>
      <c r="H164"/>
      <c r="I164"/>
      <c r="II164" s="83"/>
      <c r="IJ164" s="83"/>
      <c r="IK164" s="83"/>
      <c r="IL164" s="83"/>
      <c r="IM164" s="83"/>
      <c r="IN164" s="83"/>
      <c r="IO164" s="83"/>
      <c r="IP164" s="83"/>
      <c r="IQ164" s="83"/>
      <c r="IR164" s="83"/>
      <c r="IS164" s="83"/>
      <c r="IT164" s="83"/>
      <c r="IU164" s="83"/>
      <c r="IV164" s="83"/>
    </row>
    <row r="165" spans="1:256" x14ac:dyDescent="0.2">
      <c r="A165"/>
      <c r="B165"/>
      <c r="C165"/>
      <c r="D165"/>
      <c r="E165"/>
      <c r="F165"/>
      <c r="G165"/>
      <c r="H165"/>
      <c r="I165"/>
      <c r="II165" s="83"/>
      <c r="IJ165" s="83"/>
      <c r="IK165" s="83"/>
      <c r="IL165" s="83"/>
      <c r="IM165" s="83"/>
      <c r="IN165" s="83"/>
      <c r="IO165" s="83"/>
      <c r="IP165" s="83"/>
      <c r="IQ165" s="83"/>
      <c r="IR165" s="83"/>
      <c r="IS165" s="83"/>
      <c r="IT165" s="83"/>
      <c r="IU165" s="83"/>
      <c r="IV165" s="83"/>
    </row>
    <row r="166" spans="1:256" x14ac:dyDescent="0.2">
      <c r="A166"/>
      <c r="B166"/>
      <c r="C166"/>
      <c r="D166"/>
      <c r="E166"/>
      <c r="F166"/>
      <c r="G166"/>
      <c r="H166"/>
      <c r="I166"/>
      <c r="II166" s="83"/>
      <c r="IJ166" s="83"/>
      <c r="IK166" s="83"/>
      <c r="IL166" s="83"/>
      <c r="IM166" s="83"/>
      <c r="IN166" s="83"/>
      <c r="IO166" s="83"/>
      <c r="IP166" s="83"/>
      <c r="IQ166" s="83"/>
      <c r="IR166" s="83"/>
      <c r="IS166" s="83"/>
      <c r="IT166" s="83"/>
      <c r="IU166" s="83"/>
      <c r="IV166" s="83"/>
    </row>
    <row r="167" spans="1:256" x14ac:dyDescent="0.2">
      <c r="A167"/>
      <c r="B167"/>
      <c r="C167"/>
      <c r="D167"/>
      <c r="E167"/>
      <c r="F167"/>
      <c r="G167"/>
      <c r="H167"/>
      <c r="I167"/>
      <c r="II167" s="83"/>
      <c r="IJ167" s="83"/>
      <c r="IK167" s="83"/>
      <c r="IL167" s="83"/>
      <c r="IM167" s="83"/>
      <c r="IN167" s="83"/>
      <c r="IO167" s="83"/>
      <c r="IP167" s="83"/>
      <c r="IQ167" s="83"/>
      <c r="IR167" s="83"/>
      <c r="IS167" s="83"/>
      <c r="IT167" s="83"/>
      <c r="IU167" s="83"/>
      <c r="IV167" s="83"/>
    </row>
    <row r="168" spans="1:256" x14ac:dyDescent="0.2">
      <c r="A168"/>
      <c r="B168"/>
      <c r="C168"/>
      <c r="D168"/>
      <c r="E168"/>
      <c r="F168"/>
      <c r="G168"/>
      <c r="H168"/>
      <c r="I168"/>
      <c r="II168" s="83"/>
      <c r="IJ168" s="83"/>
      <c r="IK168" s="83"/>
      <c r="IL168" s="83"/>
      <c r="IM168" s="83"/>
      <c r="IN168" s="83"/>
      <c r="IO168" s="83"/>
      <c r="IP168" s="83"/>
      <c r="IQ168" s="83"/>
      <c r="IR168" s="83"/>
      <c r="IS168" s="83"/>
      <c r="IT168" s="83"/>
      <c r="IU168" s="83"/>
      <c r="IV168" s="83"/>
    </row>
    <row r="169" spans="1:256" x14ac:dyDescent="0.2">
      <c r="A169"/>
      <c r="B169"/>
      <c r="C169"/>
      <c r="D169"/>
      <c r="E169"/>
      <c r="F169"/>
      <c r="G169"/>
      <c r="H169"/>
      <c r="I169"/>
      <c r="II169" s="83"/>
      <c r="IJ169" s="83"/>
      <c r="IK169" s="83"/>
      <c r="IL169" s="83"/>
      <c r="IM169" s="83"/>
      <c r="IN169" s="83"/>
      <c r="IO169" s="83"/>
      <c r="IP169" s="83"/>
      <c r="IQ169" s="83"/>
      <c r="IR169" s="83"/>
      <c r="IS169" s="83"/>
      <c r="IT169" s="83"/>
      <c r="IU169" s="83"/>
      <c r="IV169" s="83"/>
    </row>
    <row r="170" spans="1:256" x14ac:dyDescent="0.2">
      <c r="A170"/>
      <c r="B170"/>
      <c r="C170"/>
      <c r="D170"/>
      <c r="E170"/>
      <c r="F170"/>
      <c r="G170"/>
      <c r="H170"/>
      <c r="I170"/>
      <c r="II170" s="83"/>
      <c r="IJ170" s="83"/>
      <c r="IK170" s="83"/>
      <c r="IL170" s="83"/>
      <c r="IM170" s="83"/>
      <c r="IN170" s="83"/>
      <c r="IO170" s="83"/>
      <c r="IP170" s="83"/>
      <c r="IQ170" s="83"/>
      <c r="IR170" s="83"/>
      <c r="IS170" s="83"/>
      <c r="IT170" s="83"/>
      <c r="IU170" s="83"/>
      <c r="IV170" s="83"/>
    </row>
    <row r="171" spans="1:256" x14ac:dyDescent="0.2">
      <c r="A171"/>
      <c r="B171"/>
      <c r="C171"/>
      <c r="D171"/>
      <c r="E171"/>
      <c r="F171"/>
      <c r="G171"/>
      <c r="H171"/>
      <c r="I171"/>
      <c r="II171" s="83"/>
      <c r="IJ171" s="83"/>
      <c r="IK171" s="83"/>
      <c r="IL171" s="83"/>
      <c r="IM171" s="83"/>
      <c r="IN171" s="83"/>
      <c r="IO171" s="83"/>
      <c r="IP171" s="83"/>
      <c r="IQ171" s="83"/>
      <c r="IR171" s="83"/>
      <c r="IS171" s="83"/>
      <c r="IT171" s="83"/>
      <c r="IU171" s="83"/>
      <c r="IV171" s="83"/>
    </row>
    <row r="172" spans="1:256" x14ac:dyDescent="0.2">
      <c r="A172"/>
      <c r="B172"/>
      <c r="C172"/>
      <c r="D172"/>
      <c r="E172"/>
      <c r="F172"/>
      <c r="G172"/>
      <c r="H172"/>
      <c r="I172"/>
      <c r="II172" s="83"/>
      <c r="IJ172" s="83"/>
      <c r="IK172" s="83"/>
      <c r="IL172" s="83"/>
      <c r="IM172" s="83"/>
      <c r="IN172" s="83"/>
      <c r="IO172" s="83"/>
      <c r="IP172" s="83"/>
      <c r="IQ172" s="83"/>
      <c r="IR172" s="83"/>
      <c r="IS172" s="83"/>
      <c r="IT172" s="83"/>
      <c r="IU172" s="83"/>
      <c r="IV172" s="83"/>
    </row>
    <row r="173" spans="1:256" x14ac:dyDescent="0.2">
      <c r="A173"/>
      <c r="B173"/>
      <c r="C173"/>
      <c r="D173"/>
      <c r="E173"/>
      <c r="F173"/>
      <c r="G173"/>
      <c r="H173"/>
      <c r="I173"/>
      <c r="II173" s="83"/>
      <c r="IJ173" s="83"/>
      <c r="IK173" s="83"/>
      <c r="IL173" s="83"/>
      <c r="IM173" s="83"/>
      <c r="IN173" s="83"/>
      <c r="IO173" s="83"/>
      <c r="IP173" s="83"/>
      <c r="IQ173" s="83"/>
      <c r="IR173" s="83"/>
      <c r="IS173" s="83"/>
      <c r="IT173" s="83"/>
      <c r="IU173" s="83"/>
      <c r="IV173" s="83"/>
    </row>
    <row r="174" spans="1:256" x14ac:dyDescent="0.2">
      <c r="A174"/>
      <c r="B174"/>
      <c r="C174"/>
      <c r="D174"/>
      <c r="E174"/>
      <c r="F174"/>
      <c r="G174"/>
      <c r="H174"/>
      <c r="I174"/>
      <c r="II174" s="83"/>
      <c r="IJ174" s="83"/>
      <c r="IK174" s="83"/>
      <c r="IL174" s="83"/>
      <c r="IM174" s="83"/>
      <c r="IN174" s="83"/>
      <c r="IO174" s="83"/>
      <c r="IP174" s="83"/>
      <c r="IQ174" s="83"/>
      <c r="IR174" s="83"/>
      <c r="IS174" s="83"/>
      <c r="IT174" s="83"/>
      <c r="IU174" s="83"/>
      <c r="IV174" s="83"/>
    </row>
    <row r="175" spans="1:256" x14ac:dyDescent="0.2">
      <c r="A175"/>
      <c r="B175"/>
      <c r="C175"/>
      <c r="D175"/>
      <c r="E175"/>
      <c r="F175"/>
      <c r="G175"/>
      <c r="H175"/>
      <c r="I175"/>
      <c r="II175" s="83"/>
      <c r="IJ175" s="83"/>
      <c r="IK175" s="83"/>
      <c r="IL175" s="83"/>
      <c r="IM175" s="83"/>
      <c r="IN175" s="83"/>
      <c r="IO175" s="83"/>
      <c r="IP175" s="83"/>
      <c r="IQ175" s="83"/>
      <c r="IR175" s="83"/>
      <c r="IS175" s="83"/>
      <c r="IT175" s="83"/>
      <c r="IU175" s="83"/>
      <c r="IV175" s="83"/>
    </row>
    <row r="176" spans="1:256" x14ac:dyDescent="0.2">
      <c r="A176"/>
      <c r="B176"/>
      <c r="C176"/>
      <c r="D176"/>
      <c r="E176"/>
      <c r="F176"/>
      <c r="G176"/>
      <c r="H176"/>
      <c r="I176"/>
      <c r="II176" s="83"/>
      <c r="IJ176" s="83"/>
      <c r="IK176" s="83"/>
      <c r="IL176" s="83"/>
      <c r="IM176" s="83"/>
      <c r="IN176" s="83"/>
      <c r="IO176" s="83"/>
      <c r="IP176" s="83"/>
      <c r="IQ176" s="83"/>
      <c r="IR176" s="83"/>
      <c r="IS176" s="83"/>
      <c r="IT176" s="83"/>
      <c r="IU176" s="83"/>
      <c r="IV176" s="83"/>
    </row>
    <row r="177" spans="1:256" x14ac:dyDescent="0.2">
      <c r="A177"/>
      <c r="B177"/>
      <c r="C177"/>
      <c r="D177"/>
      <c r="E177"/>
      <c r="F177"/>
      <c r="G177"/>
      <c r="H177"/>
      <c r="I177"/>
      <c r="II177" s="83"/>
      <c r="IJ177" s="83"/>
      <c r="IK177" s="83"/>
      <c r="IL177" s="83"/>
      <c r="IM177" s="83"/>
      <c r="IN177" s="83"/>
      <c r="IO177" s="83"/>
      <c r="IP177" s="83"/>
      <c r="IQ177" s="83"/>
      <c r="IR177" s="83"/>
      <c r="IS177" s="83"/>
      <c r="IT177" s="83"/>
      <c r="IU177" s="83"/>
      <c r="IV177" s="83"/>
    </row>
    <row r="178" spans="1:256" x14ac:dyDescent="0.2">
      <c r="A178"/>
      <c r="B178"/>
      <c r="C178"/>
      <c r="D178"/>
      <c r="E178"/>
      <c r="F178"/>
      <c r="G178"/>
      <c r="H178"/>
      <c r="I178"/>
      <c r="II178" s="83"/>
      <c r="IJ178" s="83"/>
      <c r="IK178" s="83"/>
      <c r="IL178" s="83"/>
      <c r="IM178" s="83"/>
      <c r="IN178" s="83"/>
      <c r="IO178" s="83"/>
      <c r="IP178" s="83"/>
      <c r="IQ178" s="83"/>
      <c r="IR178" s="83"/>
      <c r="IS178" s="83"/>
      <c r="IT178" s="83"/>
      <c r="IU178" s="83"/>
      <c r="IV178" s="83"/>
    </row>
    <row r="179" spans="1:256" x14ac:dyDescent="0.2">
      <c r="A179"/>
      <c r="B179"/>
      <c r="C179"/>
      <c r="D179"/>
      <c r="E179"/>
      <c r="F179"/>
      <c r="G179"/>
      <c r="H179"/>
      <c r="I179"/>
      <c r="II179" s="83"/>
      <c r="IJ179" s="83"/>
      <c r="IK179" s="83"/>
      <c r="IL179" s="83"/>
      <c r="IM179" s="83"/>
      <c r="IN179" s="83"/>
      <c r="IO179" s="83"/>
      <c r="IP179" s="83"/>
      <c r="IQ179" s="83"/>
      <c r="IR179" s="83"/>
      <c r="IS179" s="83"/>
      <c r="IT179" s="83"/>
      <c r="IU179" s="83"/>
      <c r="IV179" s="83"/>
    </row>
    <row r="180" spans="1:256" x14ac:dyDescent="0.2">
      <c r="A180"/>
      <c r="B180"/>
      <c r="C180"/>
      <c r="D180"/>
      <c r="E180"/>
      <c r="F180"/>
      <c r="G180"/>
      <c r="H180"/>
      <c r="I180"/>
      <c r="II180" s="83"/>
      <c r="IJ180" s="83"/>
      <c r="IK180" s="83"/>
      <c r="IL180" s="83"/>
      <c r="IM180" s="83"/>
      <c r="IN180" s="83"/>
      <c r="IO180" s="83"/>
      <c r="IP180" s="83"/>
      <c r="IQ180" s="83"/>
      <c r="IR180" s="83"/>
      <c r="IS180" s="83"/>
      <c r="IT180" s="83"/>
      <c r="IU180" s="83"/>
      <c r="IV180" s="83"/>
    </row>
    <row r="181" spans="1:256" x14ac:dyDescent="0.2">
      <c r="A181"/>
      <c r="B181"/>
      <c r="C181"/>
      <c r="D181"/>
      <c r="E181"/>
      <c r="F181"/>
      <c r="G181"/>
      <c r="H181"/>
      <c r="I181"/>
      <c r="II181" s="83"/>
      <c r="IJ181" s="83"/>
      <c r="IK181" s="83"/>
      <c r="IL181" s="83"/>
      <c r="IM181" s="83"/>
      <c r="IN181" s="83"/>
      <c r="IO181" s="83"/>
      <c r="IP181" s="83"/>
      <c r="IQ181" s="83"/>
      <c r="IR181" s="83"/>
      <c r="IS181" s="83"/>
      <c r="IT181" s="83"/>
      <c r="IU181" s="83"/>
      <c r="IV181" s="83"/>
    </row>
    <row r="182" spans="1:256" x14ac:dyDescent="0.2">
      <c r="A182"/>
      <c r="B182"/>
      <c r="C182"/>
      <c r="D182"/>
      <c r="E182"/>
      <c r="F182"/>
      <c r="G182"/>
      <c r="H182"/>
      <c r="I182"/>
      <c r="II182" s="83"/>
      <c r="IJ182" s="83"/>
      <c r="IK182" s="83"/>
      <c r="IL182" s="83"/>
      <c r="IM182" s="83"/>
      <c r="IN182" s="83"/>
      <c r="IO182" s="83"/>
      <c r="IP182" s="83"/>
      <c r="IQ182" s="83"/>
      <c r="IR182" s="83"/>
      <c r="IS182" s="83"/>
      <c r="IT182" s="83"/>
      <c r="IU182" s="83"/>
      <c r="IV182" s="83"/>
    </row>
    <row r="183" spans="1:256" x14ac:dyDescent="0.2">
      <c r="A183"/>
      <c r="B183"/>
      <c r="C183"/>
      <c r="D183"/>
      <c r="E183"/>
      <c r="F183"/>
      <c r="G183"/>
      <c r="H183"/>
      <c r="I183"/>
      <c r="II183" s="83"/>
      <c r="IJ183" s="83"/>
      <c r="IK183" s="83"/>
      <c r="IL183" s="83"/>
      <c r="IM183" s="83"/>
      <c r="IN183" s="83"/>
      <c r="IO183" s="83"/>
      <c r="IP183" s="83"/>
      <c r="IQ183" s="83"/>
      <c r="IR183" s="83"/>
      <c r="IS183" s="83"/>
      <c r="IT183" s="83"/>
      <c r="IU183" s="83"/>
      <c r="IV183" s="83"/>
    </row>
    <row r="184" spans="1:256" x14ac:dyDescent="0.2">
      <c r="A184"/>
      <c r="B184"/>
      <c r="C184"/>
      <c r="D184"/>
      <c r="E184"/>
      <c r="F184"/>
      <c r="G184"/>
      <c r="H184"/>
      <c r="I184"/>
      <c r="II184" s="83"/>
      <c r="IJ184" s="83"/>
      <c r="IK184" s="83"/>
      <c r="IL184" s="83"/>
      <c r="IM184" s="83"/>
      <c r="IN184" s="83"/>
      <c r="IO184" s="83"/>
      <c r="IP184" s="83"/>
      <c r="IQ184" s="83"/>
      <c r="IR184" s="83"/>
      <c r="IS184" s="83"/>
      <c r="IT184" s="83"/>
      <c r="IU184" s="83"/>
      <c r="IV184" s="83"/>
    </row>
    <row r="185" spans="1:256" x14ac:dyDescent="0.2">
      <c r="A185"/>
      <c r="B185"/>
      <c r="C185"/>
      <c r="D185"/>
      <c r="E185"/>
      <c r="F185"/>
      <c r="G185"/>
      <c r="H185"/>
      <c r="I185"/>
      <c r="II185" s="83"/>
      <c r="IJ185" s="83"/>
      <c r="IK185" s="83"/>
      <c r="IL185" s="83"/>
      <c r="IM185" s="83"/>
      <c r="IN185" s="83"/>
      <c r="IO185" s="83"/>
      <c r="IP185" s="83"/>
      <c r="IQ185" s="83"/>
      <c r="IR185" s="83"/>
      <c r="IS185" s="83"/>
      <c r="IT185" s="83"/>
      <c r="IU185" s="83"/>
      <c r="IV185" s="83"/>
    </row>
    <row r="186" spans="1:256" x14ac:dyDescent="0.2">
      <c r="A186"/>
      <c r="B186"/>
      <c r="C186"/>
      <c r="D186"/>
      <c r="E186"/>
      <c r="F186"/>
      <c r="G186"/>
      <c r="H186"/>
      <c r="I186"/>
      <c r="II186" s="83"/>
      <c r="IJ186" s="83"/>
      <c r="IK186" s="83"/>
      <c r="IL186" s="83"/>
      <c r="IM186" s="83"/>
      <c r="IN186" s="83"/>
      <c r="IO186" s="83"/>
      <c r="IP186" s="83"/>
      <c r="IQ186" s="83"/>
      <c r="IR186" s="83"/>
      <c r="IS186" s="83"/>
      <c r="IT186" s="83"/>
      <c r="IU186" s="83"/>
      <c r="IV186" s="83"/>
    </row>
    <row r="187" spans="1:256" x14ac:dyDescent="0.2">
      <c r="A187"/>
      <c r="B187"/>
      <c r="C187"/>
      <c r="D187"/>
      <c r="E187"/>
      <c r="F187"/>
      <c r="G187"/>
      <c r="H187"/>
      <c r="I187"/>
      <c r="II187" s="83"/>
      <c r="IJ187" s="83"/>
      <c r="IK187" s="83"/>
      <c r="IL187" s="83"/>
      <c r="IM187" s="83"/>
      <c r="IN187" s="83"/>
      <c r="IO187" s="83"/>
      <c r="IP187" s="83"/>
      <c r="IQ187" s="83"/>
      <c r="IR187" s="83"/>
      <c r="IS187" s="83"/>
      <c r="IT187" s="83"/>
      <c r="IU187" s="83"/>
      <c r="IV187" s="83"/>
    </row>
    <row r="188" spans="1:256" x14ac:dyDescent="0.2">
      <c r="A188"/>
      <c r="B188"/>
      <c r="C188"/>
      <c r="D188"/>
      <c r="E188"/>
      <c r="F188"/>
      <c r="G188"/>
      <c r="H188"/>
      <c r="I188"/>
      <c r="II188" s="83"/>
      <c r="IJ188" s="83"/>
      <c r="IK188" s="83"/>
      <c r="IL188" s="83"/>
      <c r="IM188" s="83"/>
      <c r="IN188" s="83"/>
      <c r="IO188" s="83"/>
      <c r="IP188" s="83"/>
      <c r="IQ188" s="83"/>
      <c r="IR188" s="83"/>
      <c r="IS188" s="83"/>
      <c r="IT188" s="83"/>
      <c r="IU188" s="83"/>
      <c r="IV188" s="83"/>
    </row>
    <row r="189" spans="1:256" x14ac:dyDescent="0.2">
      <c r="A189"/>
      <c r="B189"/>
      <c r="C189"/>
      <c r="D189"/>
      <c r="E189"/>
      <c r="F189"/>
      <c r="G189"/>
      <c r="H189"/>
      <c r="I189"/>
      <c r="II189" s="83"/>
      <c r="IJ189" s="83"/>
      <c r="IK189" s="83"/>
      <c r="IL189" s="83"/>
      <c r="IM189" s="83"/>
      <c r="IN189" s="83"/>
      <c r="IO189" s="83"/>
      <c r="IP189" s="83"/>
      <c r="IQ189" s="83"/>
      <c r="IR189" s="83"/>
      <c r="IS189" s="83"/>
      <c r="IT189" s="83"/>
      <c r="IU189" s="83"/>
      <c r="IV189" s="83"/>
    </row>
    <row r="190" spans="1:256" x14ac:dyDescent="0.2">
      <c r="A190"/>
      <c r="B190"/>
      <c r="C190"/>
      <c r="D190"/>
      <c r="E190"/>
      <c r="F190"/>
      <c r="G190"/>
      <c r="H190"/>
      <c r="I190"/>
      <c r="II190" s="83"/>
      <c r="IJ190" s="83"/>
      <c r="IK190" s="83"/>
      <c r="IL190" s="83"/>
      <c r="IM190" s="83"/>
      <c r="IN190" s="83"/>
      <c r="IO190" s="83"/>
      <c r="IP190" s="83"/>
      <c r="IQ190" s="83"/>
      <c r="IR190" s="83"/>
      <c r="IS190" s="83"/>
      <c r="IT190" s="83"/>
      <c r="IU190" s="83"/>
      <c r="IV190" s="83"/>
    </row>
    <row r="191" spans="1:256" x14ac:dyDescent="0.2">
      <c r="A191"/>
      <c r="B191"/>
      <c r="C191"/>
      <c r="D191"/>
      <c r="E191"/>
      <c r="F191"/>
      <c r="G191"/>
      <c r="H191"/>
      <c r="I191"/>
      <c r="II191" s="83"/>
      <c r="IJ191" s="83"/>
      <c r="IK191" s="83"/>
      <c r="IL191" s="83"/>
      <c r="IM191" s="83"/>
      <c r="IN191" s="83"/>
      <c r="IO191" s="83"/>
      <c r="IP191" s="83"/>
      <c r="IQ191" s="83"/>
      <c r="IR191" s="83"/>
      <c r="IS191" s="83"/>
      <c r="IT191" s="83"/>
      <c r="IU191" s="83"/>
      <c r="IV191" s="83"/>
    </row>
    <row r="192" spans="1:256" x14ac:dyDescent="0.2">
      <c r="A192"/>
      <c r="B192"/>
      <c r="C192"/>
      <c r="D192"/>
      <c r="E192"/>
      <c r="F192"/>
      <c r="G192"/>
      <c r="H192"/>
      <c r="I192"/>
      <c r="II192" s="83"/>
      <c r="IJ192" s="83"/>
      <c r="IK192" s="83"/>
      <c r="IL192" s="83"/>
      <c r="IM192" s="83"/>
      <c r="IN192" s="83"/>
      <c r="IO192" s="83"/>
      <c r="IP192" s="83"/>
      <c r="IQ192" s="83"/>
      <c r="IR192" s="83"/>
      <c r="IS192" s="83"/>
      <c r="IT192" s="83"/>
      <c r="IU192" s="83"/>
      <c r="IV192" s="83"/>
    </row>
    <row r="193" spans="1:256" x14ac:dyDescent="0.2">
      <c r="A193"/>
      <c r="B193"/>
      <c r="C193"/>
      <c r="D193"/>
      <c r="E193"/>
      <c r="F193"/>
      <c r="G193"/>
      <c r="H193"/>
      <c r="I193"/>
      <c r="II193" s="83"/>
      <c r="IJ193" s="83"/>
      <c r="IK193" s="83"/>
      <c r="IL193" s="83"/>
      <c r="IM193" s="83"/>
      <c r="IN193" s="83"/>
      <c r="IO193" s="83"/>
      <c r="IP193" s="83"/>
      <c r="IQ193" s="83"/>
      <c r="IR193" s="83"/>
      <c r="IS193" s="83"/>
      <c r="IT193" s="83"/>
      <c r="IU193" s="83"/>
      <c r="IV193" s="83"/>
    </row>
    <row r="194" spans="1:256" x14ac:dyDescent="0.2">
      <c r="A194"/>
      <c r="B194"/>
      <c r="C194"/>
      <c r="D194"/>
      <c r="E194"/>
      <c r="F194"/>
      <c r="G194"/>
      <c r="H194"/>
      <c r="I194"/>
      <c r="II194" s="83"/>
      <c r="IJ194" s="83"/>
      <c r="IK194" s="83"/>
      <c r="IL194" s="83"/>
      <c r="IM194" s="83"/>
      <c r="IN194" s="83"/>
      <c r="IO194" s="83"/>
      <c r="IP194" s="83"/>
      <c r="IQ194" s="83"/>
      <c r="IR194" s="83"/>
      <c r="IS194" s="83"/>
      <c r="IT194" s="83"/>
      <c r="IU194" s="83"/>
      <c r="IV194" s="83"/>
    </row>
    <row r="195" spans="1:256" x14ac:dyDescent="0.2">
      <c r="A195"/>
      <c r="B195"/>
      <c r="C195"/>
      <c r="D195"/>
      <c r="E195"/>
      <c r="F195"/>
      <c r="G195"/>
      <c r="H195"/>
      <c r="I195"/>
      <c r="II195" s="83"/>
      <c r="IJ195" s="83"/>
      <c r="IK195" s="83"/>
      <c r="IL195" s="83"/>
      <c r="IM195" s="83"/>
      <c r="IN195" s="83"/>
      <c r="IO195" s="83"/>
      <c r="IP195" s="83"/>
      <c r="IQ195" s="83"/>
      <c r="IR195" s="83"/>
      <c r="IS195" s="83"/>
      <c r="IT195" s="83"/>
      <c r="IU195" s="83"/>
      <c r="IV195" s="83"/>
    </row>
    <row r="196" spans="1:256" x14ac:dyDescent="0.2">
      <c r="A196"/>
      <c r="B196"/>
      <c r="C196"/>
      <c r="D196"/>
      <c r="E196"/>
      <c r="F196"/>
      <c r="G196"/>
      <c r="H196"/>
      <c r="I196"/>
      <c r="II196" s="83"/>
      <c r="IJ196" s="83"/>
      <c r="IK196" s="83"/>
      <c r="IL196" s="83"/>
      <c r="IM196" s="83"/>
      <c r="IN196" s="83"/>
      <c r="IO196" s="83"/>
      <c r="IP196" s="83"/>
      <c r="IQ196" s="83"/>
      <c r="IR196" s="83"/>
      <c r="IS196" s="83"/>
      <c r="IT196" s="83"/>
      <c r="IU196" s="83"/>
      <c r="IV196" s="83"/>
    </row>
    <row r="197" spans="1:256" x14ac:dyDescent="0.2">
      <c r="A197"/>
      <c r="B197"/>
      <c r="C197"/>
      <c r="D197"/>
      <c r="E197"/>
      <c r="F197"/>
      <c r="G197"/>
      <c r="H197"/>
      <c r="I197"/>
      <c r="II197" s="83"/>
      <c r="IJ197" s="83"/>
      <c r="IK197" s="83"/>
      <c r="IL197" s="83"/>
      <c r="IM197" s="83"/>
      <c r="IN197" s="83"/>
      <c r="IO197" s="83"/>
      <c r="IP197" s="83"/>
      <c r="IQ197" s="83"/>
      <c r="IR197" s="83"/>
      <c r="IS197" s="83"/>
      <c r="IT197" s="83"/>
      <c r="IU197" s="83"/>
      <c r="IV197" s="83"/>
    </row>
    <row r="198" spans="1:256" x14ac:dyDescent="0.2">
      <c r="A198"/>
      <c r="B198"/>
      <c r="C198"/>
      <c r="D198"/>
      <c r="E198"/>
      <c r="F198"/>
      <c r="G198"/>
      <c r="H198"/>
      <c r="I198"/>
      <c r="II198" s="83"/>
      <c r="IJ198" s="83"/>
      <c r="IK198" s="83"/>
      <c r="IL198" s="83"/>
      <c r="IM198" s="83"/>
      <c r="IN198" s="83"/>
      <c r="IO198" s="83"/>
      <c r="IP198" s="83"/>
      <c r="IQ198" s="83"/>
      <c r="IR198" s="83"/>
      <c r="IS198" s="83"/>
      <c r="IT198" s="83"/>
      <c r="IU198" s="83"/>
      <c r="IV198" s="83"/>
    </row>
    <row r="199" spans="1:256" x14ac:dyDescent="0.2">
      <c r="A199"/>
      <c r="B199"/>
      <c r="C199"/>
      <c r="D199"/>
      <c r="E199"/>
      <c r="F199"/>
      <c r="G199"/>
      <c r="H199"/>
      <c r="I199"/>
      <c r="II199" s="83"/>
      <c r="IJ199" s="83"/>
      <c r="IK199" s="83"/>
      <c r="IL199" s="83"/>
      <c r="IM199" s="83"/>
      <c r="IN199" s="83"/>
      <c r="IO199" s="83"/>
      <c r="IP199" s="83"/>
      <c r="IQ199" s="83"/>
      <c r="IR199" s="83"/>
      <c r="IS199" s="83"/>
      <c r="IT199" s="83"/>
      <c r="IU199" s="83"/>
      <c r="IV199" s="83"/>
    </row>
    <row r="200" spans="1:256" x14ac:dyDescent="0.2">
      <c r="A200"/>
      <c r="B200"/>
      <c r="C200"/>
      <c r="D200"/>
      <c r="E200"/>
      <c r="F200"/>
      <c r="G200"/>
      <c r="H200"/>
      <c r="I200"/>
      <c r="II200" s="83"/>
      <c r="IJ200" s="83"/>
      <c r="IK200" s="83"/>
      <c r="IL200" s="83"/>
      <c r="IM200" s="83"/>
      <c r="IN200" s="83"/>
      <c r="IO200" s="83"/>
      <c r="IP200" s="83"/>
      <c r="IQ200" s="83"/>
      <c r="IR200" s="83"/>
      <c r="IS200" s="83"/>
      <c r="IT200" s="83"/>
      <c r="IU200" s="83"/>
      <c r="IV200" s="83"/>
    </row>
    <row r="201" spans="1:256" x14ac:dyDescent="0.2">
      <c r="A201"/>
      <c r="B201"/>
      <c r="C201"/>
      <c r="D201"/>
      <c r="E201"/>
      <c r="F201"/>
      <c r="G201"/>
      <c r="H201"/>
      <c r="I201"/>
      <c r="II201" s="83"/>
      <c r="IJ201" s="83"/>
      <c r="IK201" s="83"/>
      <c r="IL201" s="83"/>
      <c r="IM201" s="83"/>
      <c r="IN201" s="83"/>
      <c r="IO201" s="83"/>
      <c r="IP201" s="83"/>
      <c r="IQ201" s="83"/>
      <c r="IR201" s="83"/>
      <c r="IS201" s="83"/>
      <c r="IT201" s="83"/>
      <c r="IU201" s="83"/>
      <c r="IV201" s="83"/>
    </row>
    <row r="202" spans="1:256" x14ac:dyDescent="0.2">
      <c r="A202"/>
      <c r="B202"/>
      <c r="C202"/>
      <c r="D202"/>
      <c r="E202"/>
      <c r="F202"/>
      <c r="G202"/>
      <c r="H202"/>
      <c r="I202"/>
      <c r="II202" s="83"/>
      <c r="IJ202" s="83"/>
      <c r="IK202" s="83"/>
      <c r="IL202" s="83"/>
      <c r="IM202" s="83"/>
      <c r="IN202" s="83"/>
      <c r="IO202" s="83"/>
      <c r="IP202" s="83"/>
      <c r="IQ202" s="83"/>
      <c r="IR202" s="83"/>
      <c r="IS202" s="83"/>
      <c r="IT202" s="83"/>
      <c r="IU202" s="83"/>
      <c r="IV202" s="83"/>
    </row>
    <row r="203" spans="1:256" x14ac:dyDescent="0.2">
      <c r="A203"/>
      <c r="B203"/>
      <c r="C203"/>
      <c r="D203"/>
      <c r="E203"/>
      <c r="F203"/>
      <c r="G203"/>
      <c r="H203"/>
      <c r="I203"/>
      <c r="II203" s="83"/>
      <c r="IJ203" s="83"/>
      <c r="IK203" s="83"/>
      <c r="IL203" s="83"/>
      <c r="IM203" s="83"/>
      <c r="IN203" s="83"/>
      <c r="IO203" s="83"/>
      <c r="IP203" s="83"/>
      <c r="IQ203" s="83"/>
      <c r="IR203" s="83"/>
      <c r="IS203" s="83"/>
      <c r="IT203" s="83"/>
      <c r="IU203" s="83"/>
      <c r="IV203" s="83"/>
    </row>
    <row r="204" spans="1:256" x14ac:dyDescent="0.2">
      <c r="A204"/>
      <c r="B204"/>
      <c r="C204"/>
      <c r="D204"/>
      <c r="E204"/>
      <c r="F204"/>
      <c r="G204"/>
      <c r="H204"/>
      <c r="I204"/>
      <c r="II204" s="83"/>
      <c r="IJ204" s="83"/>
      <c r="IK204" s="83"/>
      <c r="IL204" s="83"/>
      <c r="IM204" s="83"/>
      <c r="IN204" s="83"/>
      <c r="IO204" s="83"/>
      <c r="IP204" s="83"/>
      <c r="IQ204" s="83"/>
      <c r="IR204" s="83"/>
      <c r="IS204" s="83"/>
      <c r="IT204" s="83"/>
      <c r="IU204" s="83"/>
      <c r="IV204" s="83"/>
    </row>
    <row r="205" spans="1:256" x14ac:dyDescent="0.2">
      <c r="A205"/>
      <c r="B205"/>
      <c r="C205"/>
      <c r="D205"/>
      <c r="E205"/>
      <c r="F205"/>
      <c r="G205"/>
      <c r="H205"/>
      <c r="I205"/>
      <c r="II205" s="83"/>
      <c r="IJ205" s="83"/>
      <c r="IK205" s="83"/>
      <c r="IL205" s="83"/>
      <c r="IM205" s="83"/>
      <c r="IN205" s="83"/>
      <c r="IO205" s="83"/>
      <c r="IP205" s="83"/>
      <c r="IQ205" s="83"/>
      <c r="IR205" s="83"/>
      <c r="IS205" s="83"/>
      <c r="IT205" s="83"/>
      <c r="IU205" s="83"/>
      <c r="IV205" s="83"/>
    </row>
    <row r="206" spans="1:256" x14ac:dyDescent="0.2">
      <c r="A206"/>
      <c r="B206"/>
      <c r="C206"/>
      <c r="D206"/>
      <c r="E206"/>
      <c r="F206"/>
      <c r="G206"/>
      <c r="H206"/>
      <c r="I206"/>
      <c r="II206" s="83"/>
      <c r="IJ206" s="83"/>
      <c r="IK206" s="83"/>
      <c r="IL206" s="83"/>
      <c r="IM206" s="83"/>
      <c r="IN206" s="83"/>
      <c r="IO206" s="83"/>
      <c r="IP206" s="83"/>
      <c r="IQ206" s="83"/>
      <c r="IR206" s="83"/>
      <c r="IS206" s="83"/>
      <c r="IT206" s="83"/>
      <c r="IU206" s="83"/>
      <c r="IV206" s="83"/>
    </row>
    <row r="207" spans="1:256" x14ac:dyDescent="0.2">
      <c r="A207"/>
      <c r="B207"/>
      <c r="C207"/>
      <c r="D207"/>
      <c r="E207"/>
      <c r="F207"/>
      <c r="G207"/>
      <c r="H207"/>
      <c r="I207"/>
      <c r="II207" s="83"/>
      <c r="IJ207" s="83"/>
      <c r="IK207" s="83"/>
      <c r="IL207" s="83"/>
      <c r="IM207" s="83"/>
      <c r="IN207" s="83"/>
      <c r="IO207" s="83"/>
      <c r="IP207" s="83"/>
      <c r="IQ207" s="83"/>
      <c r="IR207" s="83"/>
      <c r="IS207" s="83"/>
      <c r="IT207" s="83"/>
      <c r="IU207" s="83"/>
      <c r="IV207" s="83"/>
    </row>
    <row r="208" spans="1:256" x14ac:dyDescent="0.2">
      <c r="A208"/>
      <c r="B208"/>
      <c r="C208"/>
      <c r="D208"/>
      <c r="E208"/>
      <c r="F208"/>
      <c r="G208"/>
      <c r="H208"/>
      <c r="I208"/>
      <c r="II208" s="83"/>
      <c r="IJ208" s="83"/>
      <c r="IK208" s="83"/>
      <c r="IL208" s="83"/>
      <c r="IM208" s="83"/>
      <c r="IN208" s="83"/>
      <c r="IO208" s="83"/>
      <c r="IP208" s="83"/>
      <c r="IQ208" s="83"/>
      <c r="IR208" s="83"/>
      <c r="IS208" s="83"/>
      <c r="IT208" s="83"/>
      <c r="IU208" s="83"/>
      <c r="IV208" s="83"/>
    </row>
    <row r="209" spans="1:256" x14ac:dyDescent="0.2">
      <c r="A209"/>
      <c r="B209"/>
      <c r="C209"/>
      <c r="D209"/>
      <c r="E209"/>
      <c r="F209"/>
      <c r="G209"/>
      <c r="H209"/>
      <c r="I209"/>
      <c r="II209" s="83"/>
      <c r="IJ209" s="83"/>
      <c r="IK209" s="83"/>
      <c r="IL209" s="83"/>
      <c r="IM209" s="83"/>
      <c r="IN209" s="83"/>
      <c r="IO209" s="83"/>
      <c r="IP209" s="83"/>
      <c r="IQ209" s="83"/>
      <c r="IR209" s="83"/>
      <c r="IS209" s="83"/>
      <c r="IT209" s="83"/>
      <c r="IU209" s="83"/>
      <c r="IV209" s="83"/>
    </row>
    <row r="210" spans="1:256" x14ac:dyDescent="0.2">
      <c r="A210"/>
      <c r="B210"/>
      <c r="C210"/>
      <c r="D210"/>
      <c r="E210"/>
      <c r="F210"/>
      <c r="G210"/>
      <c r="H210"/>
      <c r="I210"/>
      <c r="II210" s="83"/>
      <c r="IJ210" s="83"/>
      <c r="IK210" s="83"/>
      <c r="IL210" s="83"/>
      <c r="IM210" s="83"/>
      <c r="IN210" s="83"/>
      <c r="IO210" s="83"/>
      <c r="IP210" s="83"/>
      <c r="IQ210" s="83"/>
      <c r="IR210" s="83"/>
      <c r="IS210" s="83"/>
      <c r="IT210" s="83"/>
      <c r="IU210" s="83"/>
      <c r="IV210" s="83"/>
    </row>
    <row r="211" spans="1:256" x14ac:dyDescent="0.2">
      <c r="A211"/>
      <c r="B211"/>
      <c r="C211"/>
      <c r="D211"/>
      <c r="E211"/>
      <c r="F211"/>
      <c r="G211"/>
      <c r="H211"/>
      <c r="I211"/>
      <c r="II211" s="83"/>
      <c r="IJ211" s="83"/>
      <c r="IK211" s="83"/>
      <c r="IL211" s="83"/>
      <c r="IM211" s="83"/>
      <c r="IN211" s="83"/>
      <c r="IO211" s="83"/>
      <c r="IP211" s="83"/>
      <c r="IQ211" s="83"/>
      <c r="IR211" s="83"/>
      <c r="IS211" s="83"/>
      <c r="IT211" s="83"/>
      <c r="IU211" s="83"/>
      <c r="IV211" s="83"/>
    </row>
    <row r="212" spans="1:256" x14ac:dyDescent="0.2">
      <c r="A212"/>
      <c r="B212"/>
      <c r="C212"/>
      <c r="D212"/>
      <c r="E212"/>
      <c r="F212"/>
      <c r="G212"/>
      <c r="H212"/>
      <c r="I212"/>
      <c r="II212" s="83"/>
      <c r="IJ212" s="83"/>
      <c r="IK212" s="83"/>
      <c r="IL212" s="83"/>
      <c r="IM212" s="83"/>
      <c r="IN212" s="83"/>
      <c r="IO212" s="83"/>
      <c r="IP212" s="83"/>
      <c r="IQ212" s="83"/>
      <c r="IR212" s="83"/>
      <c r="IS212" s="83"/>
      <c r="IT212" s="83"/>
      <c r="IU212" s="83"/>
      <c r="IV212" s="83"/>
    </row>
    <row r="213" spans="1:256" x14ac:dyDescent="0.2">
      <c r="A213"/>
      <c r="B213"/>
      <c r="C213"/>
      <c r="D213"/>
      <c r="E213"/>
      <c r="F213"/>
      <c r="G213"/>
      <c r="H213"/>
      <c r="I213"/>
      <c r="II213" s="83"/>
      <c r="IJ213" s="83"/>
      <c r="IK213" s="83"/>
      <c r="IL213" s="83"/>
      <c r="IM213" s="83"/>
      <c r="IN213" s="83"/>
      <c r="IO213" s="83"/>
      <c r="IP213" s="83"/>
      <c r="IQ213" s="83"/>
      <c r="IR213" s="83"/>
      <c r="IS213" s="83"/>
      <c r="IT213" s="83"/>
      <c r="IU213" s="83"/>
      <c r="IV213" s="83"/>
    </row>
    <row r="214" spans="1:256" x14ac:dyDescent="0.2">
      <c r="A214"/>
      <c r="B214"/>
      <c r="C214"/>
      <c r="D214"/>
      <c r="E214"/>
      <c r="F214"/>
      <c r="G214"/>
      <c r="H214"/>
      <c r="I214"/>
      <c r="II214" s="83"/>
      <c r="IJ214" s="83"/>
      <c r="IK214" s="83"/>
      <c r="IL214" s="83"/>
      <c r="IM214" s="83"/>
      <c r="IN214" s="83"/>
      <c r="IO214" s="83"/>
      <c r="IP214" s="83"/>
      <c r="IQ214" s="83"/>
      <c r="IR214" s="83"/>
      <c r="IS214" s="83"/>
      <c r="IT214" s="83"/>
      <c r="IU214" s="83"/>
      <c r="IV214" s="83"/>
    </row>
    <row r="215" spans="1:256" x14ac:dyDescent="0.2">
      <c r="A215"/>
      <c r="B215"/>
      <c r="C215"/>
      <c r="D215"/>
      <c r="E215"/>
      <c r="F215"/>
      <c r="G215"/>
      <c r="H215"/>
      <c r="I215"/>
      <c r="II215" s="83"/>
      <c r="IJ215" s="83"/>
      <c r="IK215" s="83"/>
      <c r="IL215" s="83"/>
      <c r="IM215" s="83"/>
      <c r="IN215" s="83"/>
      <c r="IO215" s="83"/>
      <c r="IP215" s="83"/>
      <c r="IQ215" s="83"/>
      <c r="IR215" s="83"/>
      <c r="IS215" s="83"/>
      <c r="IT215" s="83"/>
      <c r="IU215" s="83"/>
      <c r="IV215" s="83"/>
    </row>
    <row r="216" spans="1:256" x14ac:dyDescent="0.2">
      <c r="A216"/>
      <c r="B216"/>
      <c r="C216"/>
      <c r="D216"/>
      <c r="E216"/>
      <c r="F216"/>
      <c r="G216"/>
      <c r="H216"/>
      <c r="I216"/>
      <c r="II216" s="83"/>
      <c r="IJ216" s="83"/>
      <c r="IK216" s="83"/>
      <c r="IL216" s="83"/>
      <c r="IM216" s="83"/>
      <c r="IN216" s="83"/>
      <c r="IO216" s="83"/>
      <c r="IP216" s="83"/>
      <c r="IQ216" s="83"/>
      <c r="IR216" s="83"/>
      <c r="IS216" s="83"/>
      <c r="IT216" s="83"/>
      <c r="IU216" s="83"/>
      <c r="IV216" s="83"/>
    </row>
    <row r="217" spans="1:256" x14ac:dyDescent="0.2">
      <c r="A217"/>
      <c r="B217"/>
      <c r="C217"/>
      <c r="D217"/>
      <c r="E217"/>
      <c r="F217"/>
      <c r="G217"/>
      <c r="H217"/>
      <c r="I217"/>
      <c r="II217" s="83"/>
      <c r="IJ217" s="83"/>
      <c r="IK217" s="83"/>
      <c r="IL217" s="83"/>
      <c r="IM217" s="83"/>
      <c r="IN217" s="83"/>
      <c r="IO217" s="83"/>
      <c r="IP217" s="83"/>
      <c r="IQ217" s="83"/>
      <c r="IR217" s="83"/>
      <c r="IS217" s="83"/>
      <c r="IT217" s="83"/>
      <c r="IU217" s="83"/>
      <c r="IV217" s="83"/>
    </row>
    <row r="218" spans="1:256" x14ac:dyDescent="0.2">
      <c r="A218"/>
      <c r="B218"/>
      <c r="C218"/>
      <c r="D218"/>
      <c r="E218"/>
      <c r="F218"/>
      <c r="G218"/>
      <c r="H218"/>
      <c r="I218"/>
      <c r="II218" s="83"/>
      <c r="IJ218" s="83"/>
      <c r="IK218" s="83"/>
      <c r="IL218" s="83"/>
      <c r="IM218" s="83"/>
      <c r="IN218" s="83"/>
      <c r="IO218" s="83"/>
      <c r="IP218" s="83"/>
      <c r="IQ218" s="83"/>
      <c r="IR218" s="83"/>
      <c r="IS218" s="83"/>
      <c r="IT218" s="83"/>
      <c r="IU218" s="83"/>
      <c r="IV218" s="83"/>
    </row>
    <row r="219" spans="1:256" x14ac:dyDescent="0.2">
      <c r="A219"/>
      <c r="B219"/>
      <c r="C219"/>
      <c r="D219"/>
      <c r="E219"/>
      <c r="F219"/>
      <c r="G219"/>
      <c r="H219"/>
      <c r="I219"/>
      <c r="II219" s="83"/>
      <c r="IJ219" s="83"/>
      <c r="IK219" s="83"/>
      <c r="IL219" s="83"/>
      <c r="IM219" s="83"/>
      <c r="IN219" s="83"/>
      <c r="IO219" s="83"/>
      <c r="IP219" s="83"/>
      <c r="IQ219" s="83"/>
      <c r="IR219" s="83"/>
      <c r="IS219" s="83"/>
      <c r="IT219" s="83"/>
      <c r="IU219" s="83"/>
      <c r="IV219" s="83"/>
    </row>
    <row r="220" spans="1:256" x14ac:dyDescent="0.2">
      <c r="A220"/>
      <c r="B220"/>
      <c r="C220"/>
      <c r="D220"/>
      <c r="E220"/>
      <c r="F220"/>
      <c r="G220"/>
      <c r="H220"/>
      <c r="I220"/>
      <c r="II220" s="83"/>
      <c r="IJ220" s="83"/>
      <c r="IK220" s="83"/>
      <c r="IL220" s="83"/>
      <c r="IM220" s="83"/>
      <c r="IN220" s="83"/>
      <c r="IO220" s="83"/>
      <c r="IP220" s="83"/>
      <c r="IQ220" s="83"/>
      <c r="IR220" s="83"/>
      <c r="IS220" s="83"/>
      <c r="IT220" s="83"/>
      <c r="IU220" s="83"/>
      <c r="IV220" s="83"/>
    </row>
    <row r="221" spans="1:256" x14ac:dyDescent="0.2">
      <c r="A221"/>
      <c r="B221"/>
      <c r="C221"/>
      <c r="D221"/>
      <c r="E221"/>
      <c r="F221"/>
      <c r="G221"/>
      <c r="H221"/>
      <c r="I221"/>
      <c r="II221" s="83"/>
      <c r="IJ221" s="83"/>
      <c r="IK221" s="83"/>
      <c r="IL221" s="83"/>
      <c r="IM221" s="83"/>
      <c r="IN221" s="83"/>
      <c r="IO221" s="83"/>
      <c r="IP221" s="83"/>
      <c r="IQ221" s="83"/>
      <c r="IR221" s="83"/>
      <c r="IS221" s="83"/>
      <c r="IT221" s="83"/>
      <c r="IU221" s="83"/>
      <c r="IV221" s="83"/>
    </row>
    <row r="222" spans="1:256" x14ac:dyDescent="0.2">
      <c r="A222"/>
      <c r="B222"/>
      <c r="C222"/>
      <c r="D222"/>
      <c r="E222"/>
      <c r="F222"/>
      <c r="G222"/>
      <c r="H222"/>
      <c r="I222"/>
      <c r="II222" s="83"/>
      <c r="IJ222" s="83"/>
      <c r="IK222" s="83"/>
      <c r="IL222" s="83"/>
      <c r="IM222" s="83"/>
      <c r="IN222" s="83"/>
      <c r="IO222" s="83"/>
      <c r="IP222" s="83"/>
      <c r="IQ222" s="83"/>
      <c r="IR222" s="83"/>
      <c r="IS222" s="83"/>
      <c r="IT222" s="83"/>
      <c r="IU222" s="83"/>
      <c r="IV222" s="83"/>
    </row>
    <row r="223" spans="1:256" x14ac:dyDescent="0.2">
      <c r="A223"/>
      <c r="B223"/>
      <c r="C223"/>
      <c r="D223"/>
      <c r="E223"/>
      <c r="F223"/>
      <c r="G223"/>
      <c r="H223"/>
      <c r="I223"/>
      <c r="II223" s="83"/>
      <c r="IJ223" s="83"/>
      <c r="IK223" s="83"/>
      <c r="IL223" s="83"/>
      <c r="IM223" s="83"/>
      <c r="IN223" s="83"/>
      <c r="IO223" s="83"/>
      <c r="IP223" s="83"/>
      <c r="IQ223" s="83"/>
      <c r="IR223" s="83"/>
      <c r="IS223" s="83"/>
      <c r="IT223" s="83"/>
      <c r="IU223" s="83"/>
      <c r="IV223" s="83"/>
    </row>
    <row r="224" spans="1:256" x14ac:dyDescent="0.2">
      <c r="A224"/>
      <c r="B224"/>
      <c r="C224"/>
      <c r="D224"/>
      <c r="E224"/>
      <c r="F224"/>
      <c r="G224"/>
      <c r="H224"/>
      <c r="I224"/>
      <c r="II224" s="83"/>
      <c r="IJ224" s="83"/>
      <c r="IK224" s="83"/>
      <c r="IL224" s="83"/>
      <c r="IM224" s="83"/>
      <c r="IN224" s="83"/>
      <c r="IO224" s="83"/>
      <c r="IP224" s="83"/>
      <c r="IQ224" s="83"/>
      <c r="IR224" s="83"/>
      <c r="IS224" s="83"/>
      <c r="IT224" s="83"/>
      <c r="IU224" s="83"/>
      <c r="IV224" s="83"/>
    </row>
    <row r="225" spans="1:256" x14ac:dyDescent="0.2">
      <c r="A225"/>
      <c r="B225"/>
      <c r="C225"/>
      <c r="D225"/>
      <c r="E225"/>
      <c r="F225"/>
      <c r="G225"/>
      <c r="H225"/>
      <c r="I225"/>
      <c r="II225" s="83"/>
      <c r="IJ225" s="83"/>
      <c r="IK225" s="83"/>
      <c r="IL225" s="83"/>
      <c r="IM225" s="83"/>
      <c r="IN225" s="83"/>
      <c r="IO225" s="83"/>
      <c r="IP225" s="83"/>
      <c r="IQ225" s="83"/>
      <c r="IR225" s="83"/>
      <c r="IS225" s="83"/>
      <c r="IT225" s="83"/>
      <c r="IU225" s="83"/>
      <c r="IV225" s="83"/>
    </row>
    <row r="226" spans="1:256" x14ac:dyDescent="0.2">
      <c r="A226"/>
      <c r="B226"/>
      <c r="C226"/>
      <c r="D226"/>
      <c r="E226"/>
      <c r="F226"/>
      <c r="G226"/>
      <c r="H226"/>
      <c r="I226"/>
      <c r="II226" s="83"/>
      <c r="IJ226" s="83"/>
      <c r="IK226" s="83"/>
      <c r="IL226" s="83"/>
      <c r="IM226" s="83"/>
      <c r="IN226" s="83"/>
      <c r="IO226" s="83"/>
      <c r="IP226" s="83"/>
      <c r="IQ226" s="83"/>
      <c r="IR226" s="83"/>
      <c r="IS226" s="83"/>
      <c r="IT226" s="83"/>
      <c r="IU226" s="83"/>
      <c r="IV226" s="83"/>
    </row>
    <row r="227" spans="1:256" x14ac:dyDescent="0.2">
      <c r="A227"/>
      <c r="B227"/>
      <c r="C227"/>
      <c r="D227"/>
      <c r="E227"/>
      <c r="F227"/>
      <c r="G227"/>
      <c r="H227"/>
      <c r="I227"/>
      <c r="II227" s="83"/>
      <c r="IJ227" s="83"/>
      <c r="IK227" s="83"/>
      <c r="IL227" s="83"/>
      <c r="IM227" s="83"/>
      <c r="IN227" s="83"/>
      <c r="IO227" s="83"/>
      <c r="IP227" s="83"/>
      <c r="IQ227" s="83"/>
      <c r="IR227" s="83"/>
      <c r="IS227" s="83"/>
      <c r="IT227" s="83"/>
      <c r="IU227" s="83"/>
      <c r="IV227" s="83"/>
    </row>
    <row r="228" spans="1:256" x14ac:dyDescent="0.2">
      <c r="A228"/>
      <c r="B228"/>
      <c r="C228"/>
      <c r="D228"/>
      <c r="E228"/>
      <c r="F228"/>
      <c r="G228"/>
      <c r="H228"/>
      <c r="I228"/>
      <c r="II228" s="83"/>
      <c r="IJ228" s="83"/>
      <c r="IK228" s="83"/>
      <c r="IL228" s="83"/>
      <c r="IM228" s="83"/>
      <c r="IN228" s="83"/>
      <c r="IO228" s="83"/>
      <c r="IP228" s="83"/>
      <c r="IQ228" s="83"/>
      <c r="IR228" s="83"/>
      <c r="IS228" s="83"/>
      <c r="IT228" s="83"/>
      <c r="IU228" s="83"/>
      <c r="IV228" s="83"/>
    </row>
    <row r="229" spans="1:256" x14ac:dyDescent="0.2">
      <c r="A229"/>
      <c r="B229"/>
      <c r="C229"/>
      <c r="D229"/>
      <c r="E229"/>
      <c r="F229"/>
      <c r="G229"/>
      <c r="H229"/>
      <c r="I229"/>
      <c r="II229" s="83"/>
      <c r="IJ229" s="83"/>
      <c r="IK229" s="83"/>
      <c r="IL229" s="83"/>
      <c r="IM229" s="83"/>
      <c r="IN229" s="83"/>
      <c r="IO229" s="83"/>
      <c r="IP229" s="83"/>
      <c r="IQ229" s="83"/>
      <c r="IR229" s="83"/>
      <c r="IS229" s="83"/>
      <c r="IT229" s="83"/>
      <c r="IU229" s="83"/>
      <c r="IV229" s="83"/>
    </row>
    <row r="230" spans="1:256" x14ac:dyDescent="0.2">
      <c r="A230"/>
      <c r="B230"/>
      <c r="C230"/>
      <c r="D230"/>
      <c r="E230"/>
      <c r="F230"/>
      <c r="G230"/>
      <c r="H230"/>
      <c r="I230"/>
      <c r="II230" s="83"/>
      <c r="IJ230" s="83"/>
      <c r="IK230" s="83"/>
      <c r="IL230" s="83"/>
      <c r="IM230" s="83"/>
      <c r="IN230" s="83"/>
      <c r="IO230" s="83"/>
      <c r="IP230" s="83"/>
      <c r="IQ230" s="83"/>
      <c r="IR230" s="83"/>
      <c r="IS230" s="83"/>
      <c r="IT230" s="83"/>
      <c r="IU230" s="83"/>
      <c r="IV230" s="83"/>
    </row>
    <row r="231" spans="1:256" x14ac:dyDescent="0.2">
      <c r="A231"/>
      <c r="B231"/>
      <c r="C231"/>
      <c r="D231"/>
      <c r="E231"/>
      <c r="F231"/>
      <c r="G231"/>
      <c r="H231"/>
      <c r="I231"/>
      <c r="II231" s="83"/>
      <c r="IJ231" s="83"/>
      <c r="IK231" s="83"/>
      <c r="IL231" s="83"/>
      <c r="IM231" s="83"/>
      <c r="IN231" s="83"/>
      <c r="IO231" s="83"/>
      <c r="IP231" s="83"/>
      <c r="IQ231" s="83"/>
      <c r="IR231" s="83"/>
      <c r="IS231" s="83"/>
      <c r="IT231" s="83"/>
      <c r="IU231" s="83"/>
      <c r="IV231" s="83"/>
    </row>
    <row r="232" spans="1:256" x14ac:dyDescent="0.2">
      <c r="A232"/>
      <c r="B232"/>
      <c r="C232"/>
      <c r="D232"/>
      <c r="E232"/>
      <c r="F232"/>
      <c r="G232"/>
      <c r="H232"/>
      <c r="I232"/>
      <c r="II232" s="83"/>
      <c r="IJ232" s="83"/>
      <c r="IK232" s="83"/>
      <c r="IL232" s="83"/>
      <c r="IM232" s="83"/>
      <c r="IN232" s="83"/>
      <c r="IO232" s="83"/>
      <c r="IP232" s="83"/>
      <c r="IQ232" s="83"/>
      <c r="IR232" s="83"/>
      <c r="IS232" s="83"/>
      <c r="IT232" s="83"/>
      <c r="IU232" s="83"/>
      <c r="IV232" s="83"/>
    </row>
    <row r="233" spans="1:256" x14ac:dyDescent="0.2">
      <c r="A233"/>
      <c r="B233"/>
      <c r="C233"/>
      <c r="D233"/>
      <c r="E233"/>
      <c r="F233"/>
      <c r="G233"/>
      <c r="H233"/>
      <c r="I233"/>
      <c r="II233" s="83"/>
      <c r="IJ233" s="83"/>
      <c r="IK233" s="83"/>
      <c r="IL233" s="83"/>
      <c r="IM233" s="83"/>
      <c r="IN233" s="83"/>
      <c r="IO233" s="83"/>
      <c r="IP233" s="83"/>
      <c r="IQ233" s="83"/>
      <c r="IR233" s="83"/>
      <c r="IS233" s="83"/>
      <c r="IT233" s="83"/>
      <c r="IU233" s="83"/>
      <c r="IV233" s="83"/>
    </row>
    <row r="234" spans="1:256" x14ac:dyDescent="0.2">
      <c r="A234"/>
      <c r="B234"/>
      <c r="C234"/>
      <c r="D234"/>
      <c r="E234"/>
      <c r="F234"/>
      <c r="G234"/>
      <c r="H234"/>
      <c r="I234"/>
      <c r="II234" s="83"/>
      <c r="IJ234" s="83"/>
      <c r="IK234" s="83"/>
      <c r="IL234" s="83"/>
      <c r="IM234" s="83"/>
      <c r="IN234" s="83"/>
      <c r="IO234" s="83"/>
      <c r="IP234" s="83"/>
      <c r="IQ234" s="83"/>
      <c r="IR234" s="83"/>
      <c r="IS234" s="83"/>
      <c r="IT234" s="83"/>
      <c r="IU234" s="83"/>
      <c r="IV234" s="83"/>
    </row>
    <row r="235" spans="1:256" x14ac:dyDescent="0.2">
      <c r="A235"/>
      <c r="B235"/>
      <c r="C235"/>
      <c r="D235"/>
      <c r="E235"/>
      <c r="F235"/>
      <c r="G235"/>
      <c r="H235"/>
      <c r="I235"/>
      <c r="II235" s="83"/>
      <c r="IJ235" s="83"/>
      <c r="IK235" s="83"/>
      <c r="IL235" s="83"/>
      <c r="IM235" s="83"/>
      <c r="IN235" s="83"/>
      <c r="IO235" s="83"/>
      <c r="IP235" s="83"/>
      <c r="IQ235" s="83"/>
      <c r="IR235" s="83"/>
      <c r="IS235" s="83"/>
      <c r="IT235" s="83"/>
      <c r="IU235" s="83"/>
      <c r="IV235" s="83"/>
    </row>
    <row r="236" spans="1:256" x14ac:dyDescent="0.2">
      <c r="A236"/>
      <c r="B236"/>
      <c r="C236"/>
      <c r="D236"/>
      <c r="E236"/>
      <c r="F236"/>
      <c r="G236"/>
      <c r="H236"/>
      <c r="I236"/>
      <c r="II236" s="83"/>
      <c r="IJ236" s="83"/>
      <c r="IK236" s="83"/>
      <c r="IL236" s="83"/>
      <c r="IM236" s="83"/>
      <c r="IN236" s="83"/>
      <c r="IO236" s="83"/>
      <c r="IP236" s="83"/>
      <c r="IQ236" s="83"/>
      <c r="IR236" s="83"/>
      <c r="IS236" s="83"/>
      <c r="IT236" s="83"/>
      <c r="IU236" s="83"/>
      <c r="IV236" s="83"/>
    </row>
    <row r="237" spans="1:256" x14ac:dyDescent="0.2">
      <c r="A237"/>
      <c r="B237"/>
      <c r="C237"/>
      <c r="D237"/>
      <c r="E237"/>
      <c r="F237"/>
      <c r="G237"/>
      <c r="H237"/>
      <c r="I237"/>
      <c r="II237" s="83"/>
      <c r="IJ237" s="83"/>
      <c r="IK237" s="83"/>
      <c r="IL237" s="83"/>
      <c r="IM237" s="83"/>
      <c r="IN237" s="83"/>
      <c r="IO237" s="83"/>
      <c r="IP237" s="83"/>
      <c r="IQ237" s="83"/>
      <c r="IR237" s="83"/>
      <c r="IS237" s="83"/>
      <c r="IT237" s="83"/>
      <c r="IU237" s="83"/>
      <c r="IV237" s="83"/>
    </row>
    <row r="238" spans="1:256" x14ac:dyDescent="0.2">
      <c r="A238"/>
      <c r="B238"/>
      <c r="C238"/>
      <c r="D238"/>
      <c r="E238"/>
      <c r="F238"/>
      <c r="G238"/>
      <c r="H238"/>
      <c r="I238"/>
      <c r="II238" s="83"/>
      <c r="IJ238" s="83"/>
      <c r="IK238" s="83"/>
      <c r="IL238" s="83"/>
      <c r="IM238" s="83"/>
      <c r="IN238" s="83"/>
      <c r="IO238" s="83"/>
      <c r="IP238" s="83"/>
      <c r="IQ238" s="83"/>
      <c r="IR238" s="83"/>
      <c r="IS238" s="83"/>
      <c r="IT238" s="83"/>
      <c r="IU238" s="83"/>
      <c r="IV238" s="83"/>
    </row>
    <row r="239" spans="1:256" x14ac:dyDescent="0.2">
      <c r="A239"/>
      <c r="B239"/>
      <c r="C239"/>
      <c r="D239"/>
      <c r="E239"/>
      <c r="F239"/>
      <c r="G239"/>
      <c r="H239"/>
      <c r="I239"/>
      <c r="II239" s="83"/>
      <c r="IJ239" s="83"/>
      <c r="IK239" s="83"/>
      <c r="IL239" s="83"/>
      <c r="IM239" s="83"/>
      <c r="IN239" s="83"/>
      <c r="IO239" s="83"/>
      <c r="IP239" s="83"/>
      <c r="IQ239" s="83"/>
      <c r="IR239" s="83"/>
      <c r="IS239" s="83"/>
      <c r="IT239" s="83"/>
      <c r="IU239" s="83"/>
      <c r="IV239" s="83"/>
    </row>
    <row r="240" spans="1:256" x14ac:dyDescent="0.2">
      <c r="A240"/>
      <c r="B240"/>
      <c r="C240"/>
      <c r="D240"/>
      <c r="E240"/>
      <c r="F240"/>
      <c r="G240"/>
      <c r="H240"/>
      <c r="I240"/>
      <c r="II240" s="83"/>
      <c r="IJ240" s="83"/>
      <c r="IK240" s="83"/>
      <c r="IL240" s="83"/>
      <c r="IM240" s="83"/>
      <c r="IN240" s="83"/>
      <c r="IO240" s="83"/>
      <c r="IP240" s="83"/>
      <c r="IQ240" s="83"/>
      <c r="IR240" s="83"/>
      <c r="IS240" s="83"/>
      <c r="IT240" s="83"/>
      <c r="IU240" s="83"/>
      <c r="IV240" s="83"/>
    </row>
    <row r="241" spans="1:256" x14ac:dyDescent="0.2">
      <c r="A241"/>
      <c r="B241"/>
      <c r="C241"/>
      <c r="D241"/>
      <c r="E241"/>
      <c r="F241"/>
      <c r="G241"/>
      <c r="H241"/>
      <c r="I241"/>
      <c r="II241" s="83"/>
      <c r="IJ241" s="83"/>
      <c r="IK241" s="83"/>
      <c r="IL241" s="83"/>
      <c r="IM241" s="83"/>
      <c r="IN241" s="83"/>
      <c r="IO241" s="83"/>
      <c r="IP241" s="83"/>
      <c r="IQ241" s="83"/>
      <c r="IR241" s="83"/>
      <c r="IS241" s="83"/>
      <c r="IT241" s="83"/>
      <c r="IU241" s="83"/>
      <c r="IV241" s="83"/>
    </row>
    <row r="242" spans="1:256" x14ac:dyDescent="0.2">
      <c r="A242"/>
      <c r="B242"/>
      <c r="C242"/>
      <c r="D242"/>
      <c r="E242"/>
      <c r="F242"/>
      <c r="G242"/>
      <c r="H242"/>
      <c r="I242"/>
      <c r="II242" s="83"/>
      <c r="IJ242" s="83"/>
      <c r="IK242" s="83"/>
      <c r="IL242" s="83"/>
      <c r="IM242" s="83"/>
      <c r="IN242" s="83"/>
      <c r="IO242" s="83"/>
      <c r="IP242" s="83"/>
      <c r="IQ242" s="83"/>
      <c r="IR242" s="83"/>
      <c r="IS242" s="83"/>
      <c r="IT242" s="83"/>
      <c r="IU242" s="83"/>
      <c r="IV242" s="83"/>
    </row>
    <row r="243" spans="1:256" x14ac:dyDescent="0.2">
      <c r="A243"/>
      <c r="B243"/>
      <c r="C243"/>
      <c r="D243"/>
      <c r="E243"/>
      <c r="F243"/>
      <c r="G243"/>
      <c r="H243"/>
      <c r="I243"/>
      <c r="II243" s="83"/>
      <c r="IJ243" s="83"/>
      <c r="IK243" s="83"/>
      <c r="IL243" s="83"/>
      <c r="IM243" s="83"/>
      <c r="IN243" s="83"/>
      <c r="IO243" s="83"/>
      <c r="IP243" s="83"/>
      <c r="IQ243" s="83"/>
      <c r="IR243" s="83"/>
      <c r="IS243" s="83"/>
      <c r="IT243" s="83"/>
      <c r="IU243" s="83"/>
      <c r="IV243" s="83"/>
    </row>
    <row r="244" spans="1:256" x14ac:dyDescent="0.2">
      <c r="A244"/>
      <c r="B244"/>
      <c r="C244"/>
      <c r="D244"/>
      <c r="E244"/>
      <c r="F244"/>
      <c r="G244"/>
      <c r="H244"/>
      <c r="I244"/>
      <c r="II244" s="83"/>
      <c r="IJ244" s="83"/>
      <c r="IK244" s="83"/>
      <c r="IL244" s="83"/>
      <c r="IM244" s="83"/>
      <c r="IN244" s="83"/>
      <c r="IO244" s="83"/>
      <c r="IP244" s="83"/>
      <c r="IQ244" s="83"/>
      <c r="IR244" s="83"/>
      <c r="IS244" s="83"/>
      <c r="IT244" s="83"/>
      <c r="IU244" s="83"/>
      <c r="IV244" s="83"/>
    </row>
    <row r="245" spans="1:256" x14ac:dyDescent="0.2">
      <c r="A245"/>
      <c r="B245"/>
      <c r="C245"/>
      <c r="D245"/>
      <c r="E245"/>
      <c r="F245"/>
      <c r="G245"/>
      <c r="H245"/>
      <c r="I245"/>
      <c r="II245" s="83"/>
      <c r="IJ245" s="83"/>
      <c r="IK245" s="83"/>
      <c r="IL245" s="83"/>
      <c r="IM245" s="83"/>
      <c r="IN245" s="83"/>
      <c r="IO245" s="83"/>
      <c r="IP245" s="83"/>
      <c r="IQ245" s="83"/>
      <c r="IR245" s="83"/>
      <c r="IS245" s="83"/>
      <c r="IT245" s="83"/>
      <c r="IU245" s="83"/>
      <c r="IV245" s="83"/>
    </row>
    <row r="246" spans="1:256" x14ac:dyDescent="0.2">
      <c r="A246"/>
      <c r="B246"/>
      <c r="C246"/>
      <c r="D246"/>
      <c r="E246"/>
      <c r="F246"/>
      <c r="G246"/>
      <c r="H246"/>
      <c r="I246"/>
      <c r="II246" s="83"/>
      <c r="IJ246" s="83"/>
      <c r="IK246" s="83"/>
      <c r="IL246" s="83"/>
      <c r="IM246" s="83"/>
      <c r="IN246" s="83"/>
      <c r="IO246" s="83"/>
      <c r="IP246" s="83"/>
      <c r="IQ246" s="83"/>
      <c r="IR246" s="83"/>
      <c r="IS246" s="83"/>
      <c r="IT246" s="83"/>
      <c r="IU246" s="83"/>
      <c r="IV246" s="83"/>
    </row>
    <row r="247" spans="1:256" x14ac:dyDescent="0.2">
      <c r="A247"/>
      <c r="B247"/>
      <c r="C247"/>
      <c r="D247"/>
      <c r="E247"/>
      <c r="F247"/>
      <c r="G247"/>
      <c r="H247"/>
      <c r="I247"/>
      <c r="II247" s="83"/>
      <c r="IJ247" s="83"/>
      <c r="IK247" s="83"/>
      <c r="IL247" s="83"/>
      <c r="IM247" s="83"/>
      <c r="IN247" s="83"/>
      <c r="IO247" s="83"/>
      <c r="IP247" s="83"/>
      <c r="IQ247" s="83"/>
      <c r="IR247" s="83"/>
      <c r="IS247" s="83"/>
      <c r="IT247" s="83"/>
      <c r="IU247" s="83"/>
      <c r="IV247" s="83"/>
    </row>
    <row r="248" spans="1:256" x14ac:dyDescent="0.2">
      <c r="A248"/>
      <c r="B248"/>
      <c r="C248"/>
      <c r="D248"/>
      <c r="E248"/>
      <c r="F248"/>
      <c r="G248"/>
      <c r="H248"/>
      <c r="I248"/>
      <c r="II248" s="83"/>
      <c r="IJ248" s="83"/>
      <c r="IK248" s="83"/>
      <c r="IL248" s="83"/>
      <c r="IM248" s="83"/>
      <c r="IN248" s="83"/>
      <c r="IO248" s="83"/>
      <c r="IP248" s="83"/>
      <c r="IQ248" s="83"/>
      <c r="IR248" s="83"/>
      <c r="IS248" s="83"/>
      <c r="IT248" s="83"/>
      <c r="IU248" s="83"/>
      <c r="IV248" s="83"/>
    </row>
    <row r="249" spans="1:256" x14ac:dyDescent="0.2">
      <c r="A249"/>
      <c r="B249"/>
      <c r="C249"/>
      <c r="D249"/>
      <c r="E249"/>
      <c r="F249"/>
      <c r="G249"/>
      <c r="H249"/>
      <c r="I249"/>
      <c r="II249" s="83"/>
      <c r="IJ249" s="83"/>
      <c r="IK249" s="83"/>
      <c r="IL249" s="83"/>
      <c r="IM249" s="83"/>
      <c r="IN249" s="83"/>
      <c r="IO249" s="83"/>
      <c r="IP249" s="83"/>
      <c r="IQ249" s="83"/>
      <c r="IR249" s="83"/>
      <c r="IS249" s="83"/>
      <c r="IT249" s="83"/>
      <c r="IU249" s="83"/>
      <c r="IV249" s="83"/>
    </row>
    <row r="250" spans="1:256" x14ac:dyDescent="0.2">
      <c r="A250"/>
      <c r="B250"/>
      <c r="C250"/>
      <c r="D250"/>
      <c r="E250"/>
      <c r="F250"/>
      <c r="G250"/>
      <c r="H250"/>
      <c r="I250"/>
      <c r="II250" s="83"/>
      <c r="IJ250" s="83"/>
      <c r="IK250" s="83"/>
      <c r="IL250" s="83"/>
      <c r="IM250" s="83"/>
      <c r="IN250" s="83"/>
      <c r="IO250" s="83"/>
      <c r="IP250" s="83"/>
      <c r="IQ250" s="83"/>
      <c r="IR250" s="83"/>
      <c r="IS250" s="83"/>
      <c r="IT250" s="83"/>
      <c r="IU250" s="83"/>
      <c r="IV250" s="83"/>
    </row>
    <row r="251" spans="1:256" x14ac:dyDescent="0.2">
      <c r="A251"/>
      <c r="B251"/>
      <c r="C251"/>
      <c r="D251"/>
      <c r="E251"/>
      <c r="F251"/>
      <c r="G251"/>
      <c r="H251"/>
      <c r="I251"/>
      <c r="II251" s="83"/>
      <c r="IJ251" s="83"/>
      <c r="IK251" s="83"/>
      <c r="IL251" s="83"/>
      <c r="IM251" s="83"/>
      <c r="IN251" s="83"/>
      <c r="IO251" s="83"/>
      <c r="IP251" s="83"/>
      <c r="IQ251" s="83"/>
      <c r="IR251" s="83"/>
      <c r="IS251" s="83"/>
      <c r="IT251" s="83"/>
      <c r="IU251" s="83"/>
      <c r="IV251" s="83"/>
    </row>
    <row r="252" spans="1:256" x14ac:dyDescent="0.2">
      <c r="A252"/>
      <c r="B252"/>
      <c r="C252"/>
      <c r="D252"/>
      <c r="E252"/>
      <c r="F252"/>
      <c r="G252"/>
      <c r="H252"/>
      <c r="I252"/>
      <c r="II252" s="83"/>
      <c r="IJ252" s="83"/>
      <c r="IK252" s="83"/>
      <c r="IL252" s="83"/>
      <c r="IM252" s="83"/>
      <c r="IN252" s="83"/>
      <c r="IO252" s="83"/>
      <c r="IP252" s="83"/>
      <c r="IQ252" s="83"/>
      <c r="IR252" s="83"/>
      <c r="IS252" s="83"/>
      <c r="IT252" s="83"/>
      <c r="IU252" s="83"/>
      <c r="IV252" s="83"/>
    </row>
    <row r="253" spans="1:256" x14ac:dyDescent="0.2">
      <c r="A253"/>
      <c r="B253"/>
      <c r="C253"/>
      <c r="D253"/>
      <c r="E253"/>
      <c r="F253"/>
      <c r="G253"/>
      <c r="H253"/>
      <c r="I253"/>
      <c r="II253" s="83"/>
      <c r="IJ253" s="83"/>
      <c r="IK253" s="83"/>
      <c r="IL253" s="83"/>
      <c r="IM253" s="83"/>
      <c r="IN253" s="83"/>
      <c r="IO253" s="83"/>
      <c r="IP253" s="83"/>
      <c r="IQ253" s="83"/>
      <c r="IR253" s="83"/>
      <c r="IS253" s="83"/>
      <c r="IT253" s="83"/>
      <c r="IU253" s="83"/>
      <c r="IV253" s="83"/>
    </row>
    <row r="254" spans="1:256" x14ac:dyDescent="0.2">
      <c r="A254"/>
      <c r="B254"/>
      <c r="C254"/>
      <c r="D254"/>
      <c r="E254"/>
      <c r="F254"/>
      <c r="G254"/>
      <c r="H254"/>
      <c r="I254"/>
      <c r="II254" s="83"/>
      <c r="IJ254" s="83"/>
      <c r="IK254" s="83"/>
      <c r="IL254" s="83"/>
      <c r="IM254" s="83"/>
      <c r="IN254" s="83"/>
      <c r="IO254" s="83"/>
      <c r="IP254" s="83"/>
      <c r="IQ254" s="83"/>
      <c r="IR254" s="83"/>
      <c r="IS254" s="83"/>
      <c r="IT254" s="83"/>
      <c r="IU254" s="83"/>
      <c r="IV254" s="83"/>
    </row>
    <row r="255" spans="1:256" x14ac:dyDescent="0.2">
      <c r="A255"/>
      <c r="B255"/>
      <c r="C255"/>
      <c r="D255"/>
      <c r="E255"/>
      <c r="F255"/>
      <c r="G255"/>
      <c r="H255"/>
      <c r="I255"/>
      <c r="II255" s="83"/>
      <c r="IJ255" s="83"/>
      <c r="IK255" s="83"/>
      <c r="IL255" s="83"/>
      <c r="IM255" s="83"/>
      <c r="IN255" s="83"/>
      <c r="IO255" s="83"/>
      <c r="IP255" s="83"/>
      <c r="IQ255" s="83"/>
      <c r="IR255" s="83"/>
      <c r="IS255" s="83"/>
      <c r="IT255" s="83"/>
      <c r="IU255" s="83"/>
      <c r="IV255" s="83"/>
    </row>
    <row r="256" spans="1:256" x14ac:dyDescent="0.2">
      <c r="A256"/>
      <c r="B256"/>
      <c r="C256"/>
      <c r="D256"/>
      <c r="E256"/>
      <c r="F256"/>
      <c r="G256"/>
      <c r="H256"/>
      <c r="I256"/>
      <c r="II256" s="83"/>
      <c r="IJ256" s="83"/>
      <c r="IK256" s="83"/>
      <c r="IL256" s="83"/>
      <c r="IM256" s="83"/>
      <c r="IN256" s="83"/>
      <c r="IO256" s="83"/>
      <c r="IP256" s="83"/>
      <c r="IQ256" s="83"/>
      <c r="IR256" s="83"/>
      <c r="IS256" s="83"/>
      <c r="IT256" s="83"/>
      <c r="IU256" s="83"/>
      <c r="IV256" s="83"/>
    </row>
    <row r="257" spans="1:256" x14ac:dyDescent="0.2">
      <c r="A257"/>
      <c r="B257"/>
      <c r="C257"/>
      <c r="D257"/>
      <c r="E257"/>
      <c r="F257"/>
      <c r="G257"/>
      <c r="H257"/>
      <c r="I257"/>
      <c r="II257" s="83"/>
      <c r="IJ257" s="83"/>
      <c r="IK257" s="83"/>
      <c r="IL257" s="83"/>
      <c r="IM257" s="83"/>
      <c r="IN257" s="83"/>
      <c r="IO257" s="83"/>
      <c r="IP257" s="83"/>
      <c r="IQ257" s="83"/>
      <c r="IR257" s="83"/>
      <c r="IS257" s="83"/>
      <c r="IT257" s="83"/>
      <c r="IU257" s="83"/>
      <c r="IV257" s="83"/>
    </row>
    <row r="258" spans="1:256" x14ac:dyDescent="0.2">
      <c r="A258"/>
      <c r="B258"/>
      <c r="C258"/>
      <c r="D258"/>
      <c r="E258"/>
      <c r="F258"/>
      <c r="G258"/>
      <c r="H258"/>
      <c r="I258"/>
      <c r="II258" s="83"/>
      <c r="IJ258" s="83"/>
      <c r="IK258" s="83"/>
      <c r="IL258" s="83"/>
      <c r="IM258" s="83"/>
      <c r="IN258" s="83"/>
      <c r="IO258" s="83"/>
      <c r="IP258" s="83"/>
      <c r="IQ258" s="83"/>
      <c r="IR258" s="83"/>
      <c r="IS258" s="83"/>
      <c r="IT258" s="83"/>
      <c r="IU258" s="83"/>
      <c r="IV258" s="83"/>
    </row>
    <row r="259" spans="1:256" x14ac:dyDescent="0.2">
      <c r="A259"/>
      <c r="B259"/>
      <c r="II259" s="83"/>
      <c r="IJ259" s="83"/>
      <c r="IK259" s="83"/>
      <c r="IL259" s="83"/>
      <c r="IM259" s="83"/>
      <c r="IN259" s="83"/>
      <c r="IO259" s="83"/>
      <c r="IP259" s="83"/>
      <c r="IQ259" s="83"/>
      <c r="IR259" s="83"/>
      <c r="IS259" s="83"/>
      <c r="IT259" s="83"/>
      <c r="IU259" s="83"/>
      <c r="IV259" s="83"/>
    </row>
    <row r="260" spans="1:256" x14ac:dyDescent="0.2">
      <c r="A260"/>
      <c r="B260"/>
    </row>
    <row r="261" spans="1:256" x14ac:dyDescent="0.2">
      <c r="A261"/>
      <c r="B261"/>
    </row>
  </sheetData>
  <mergeCells count="23">
    <mergeCell ref="B88:G88"/>
    <mergeCell ref="B89:G89"/>
    <mergeCell ref="A45:I45"/>
    <mergeCell ref="A3:E3"/>
    <mergeCell ref="A54:I54"/>
    <mergeCell ref="A40:I40"/>
    <mergeCell ref="E5:I5"/>
    <mergeCell ref="A5:D5"/>
    <mergeCell ref="G3:I3"/>
    <mergeCell ref="A4:E4"/>
    <mergeCell ref="A28:I28"/>
    <mergeCell ref="A68:I68"/>
    <mergeCell ref="B87:C87"/>
    <mergeCell ref="E87:G87"/>
    <mergeCell ref="A83:H83"/>
    <mergeCell ref="A75:I75"/>
    <mergeCell ref="A81:I81"/>
    <mergeCell ref="C1:I1"/>
    <mergeCell ref="A1:B1"/>
    <mergeCell ref="G4:I4"/>
    <mergeCell ref="A6:D6"/>
    <mergeCell ref="A2:I2"/>
    <mergeCell ref="A62:I62"/>
  </mergeCells>
  <phoneticPr fontId="33" type="noConversion"/>
  <pageMargins left="0.23622047244094491" right="0.23622047244094491" top="0.96875" bottom="0.74803149606299213" header="0.31496062992125984" footer="0.31496062992125984"/>
  <pageSetup paperSize="9" scale="94" fitToHeight="0" orientation="landscape" r:id="rId1"/>
  <headerFooter alignWithMargins="0">
    <oddHeader xml:space="preserve">&amp;C
</oddHeader>
  </headerFooter>
  <rowBreaks count="1" manualBreakCount="1">
    <brk id="1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F04B-E141-49E7-BDF3-44FBDAA02BB4}">
  <sheetPr>
    <pageSetUpPr fitToPage="1"/>
  </sheetPr>
  <dimension ref="A1:IV558"/>
  <sheetViews>
    <sheetView view="pageBreakPreview" zoomScale="80" zoomScaleNormal="60" zoomScaleSheetLayoutView="80" workbookViewId="0">
      <pane ySplit="11" topLeftCell="A411" activePane="bottomLeft" state="frozen"/>
      <selection pane="bottomLeft" activeCell="D469" sqref="D469"/>
    </sheetView>
  </sheetViews>
  <sheetFormatPr defaultColWidth="9" defaultRowHeight="12.75" x14ac:dyDescent="0.2"/>
  <cols>
    <col min="1" max="1" width="9.42578125" style="227" customWidth="1"/>
    <col min="2" max="2" width="12" style="179" customWidth="1"/>
    <col min="3" max="3" width="26.140625" style="179" customWidth="1"/>
    <col min="4" max="4" width="30.7109375" style="179" customWidth="1"/>
    <col min="5" max="5" width="24" style="179" customWidth="1"/>
    <col min="6" max="6" width="19.140625" style="179" customWidth="1"/>
    <col min="7" max="7" width="27.85546875" style="179" customWidth="1"/>
    <col min="8" max="8" width="20.85546875" style="179" customWidth="1"/>
    <col min="9" max="9" width="8.140625" style="179" customWidth="1"/>
    <col min="10" max="10" width="8.85546875" style="179" customWidth="1"/>
    <col min="11" max="11" width="11.42578125" style="179" customWidth="1"/>
    <col min="12" max="12" width="30.28515625" style="179" customWidth="1"/>
    <col min="13" max="256" width="8.85546875" style="179" customWidth="1"/>
    <col min="257" max="16384" width="9" style="202"/>
  </cols>
  <sheetData>
    <row r="1" spans="1:12" ht="13.5" thickBot="1" x14ac:dyDescent="0.25"/>
    <row r="2" spans="1:12" ht="13.15" customHeight="1" x14ac:dyDescent="0.2">
      <c r="B2" s="358"/>
      <c r="C2" s="359"/>
      <c r="D2" s="359"/>
      <c r="E2" s="359"/>
      <c r="F2" s="359"/>
      <c r="G2" s="359"/>
      <c r="H2" s="359"/>
      <c r="I2" s="359"/>
      <c r="J2" s="359"/>
      <c r="K2" s="359"/>
      <c r="L2" s="360"/>
    </row>
    <row r="3" spans="1:12" x14ac:dyDescent="0.2">
      <c r="B3" s="361"/>
      <c r="C3" s="512"/>
      <c r="D3" s="512"/>
      <c r="E3" s="512"/>
      <c r="F3" s="512"/>
      <c r="G3" s="512"/>
      <c r="H3" s="512"/>
      <c r="I3" s="512"/>
      <c r="J3" s="512"/>
      <c r="K3" s="512"/>
      <c r="L3" s="362"/>
    </row>
    <row r="4" spans="1:12" x14ac:dyDescent="0.2">
      <c r="B4" s="361"/>
      <c r="C4" s="512"/>
      <c r="D4" s="512"/>
      <c r="E4" s="512"/>
      <c r="F4" s="512"/>
      <c r="G4" s="512"/>
      <c r="H4" s="512"/>
      <c r="I4" s="512"/>
      <c r="J4" s="512"/>
      <c r="K4" s="512"/>
      <c r="L4" s="362"/>
    </row>
    <row r="5" spans="1:12" x14ac:dyDescent="0.2">
      <c r="B5" s="361"/>
      <c r="C5" s="512"/>
      <c r="D5" s="512"/>
      <c r="E5" s="512"/>
      <c r="F5" s="512"/>
      <c r="G5" s="512"/>
      <c r="H5" s="512"/>
      <c r="I5" s="512"/>
      <c r="J5" s="512"/>
      <c r="K5" s="512"/>
      <c r="L5" s="362"/>
    </row>
    <row r="6" spans="1:12" x14ac:dyDescent="0.2">
      <c r="B6" s="361"/>
      <c r="C6" s="512"/>
      <c r="D6" s="512"/>
      <c r="E6" s="512"/>
      <c r="F6" s="512"/>
      <c r="G6" s="512"/>
      <c r="H6" s="512"/>
      <c r="I6" s="512"/>
      <c r="J6" s="512"/>
      <c r="K6" s="512"/>
      <c r="L6" s="362"/>
    </row>
    <row r="7" spans="1:12" x14ac:dyDescent="0.2">
      <c r="B7" s="363" t="s">
        <v>251</v>
      </c>
      <c r="C7" s="513"/>
      <c r="D7" s="513"/>
      <c r="E7" s="513"/>
      <c r="F7" s="513"/>
      <c r="G7" s="513"/>
      <c r="H7" s="513"/>
      <c r="I7" s="513"/>
      <c r="J7" s="513"/>
      <c r="K7" s="513"/>
      <c r="L7" s="364"/>
    </row>
    <row r="8" spans="1:12" x14ac:dyDescent="0.2">
      <c r="B8" s="181"/>
      <c r="C8" s="514"/>
      <c r="D8" s="514"/>
      <c r="E8" s="514"/>
      <c r="F8" s="514"/>
      <c r="G8" s="514"/>
      <c r="H8" s="515"/>
      <c r="I8" s="515"/>
      <c r="J8" s="516"/>
      <c r="K8" s="516"/>
      <c r="L8" s="365"/>
    </row>
    <row r="9" spans="1:12" ht="13.15" customHeight="1" x14ac:dyDescent="0.2">
      <c r="B9" s="366" t="s">
        <v>250</v>
      </c>
      <c r="C9" s="517"/>
      <c r="D9" s="517"/>
      <c r="E9" s="517"/>
      <c r="F9" s="518"/>
      <c r="G9" s="518"/>
      <c r="H9" s="518"/>
      <c r="I9" s="515"/>
      <c r="J9" s="516"/>
      <c r="K9" s="516"/>
      <c r="L9" s="365"/>
    </row>
    <row r="10" spans="1:12" x14ac:dyDescent="0.2">
      <c r="B10" s="366"/>
      <c r="C10" s="517"/>
      <c r="D10" s="517"/>
      <c r="E10" s="517"/>
      <c r="F10" s="518"/>
      <c r="G10" s="518"/>
      <c r="H10" s="518"/>
      <c r="I10" s="515"/>
      <c r="J10" s="516"/>
      <c r="K10" s="516"/>
      <c r="L10" s="365"/>
    </row>
    <row r="11" spans="1:12" x14ac:dyDescent="0.2">
      <c r="B11" s="182" t="s">
        <v>0</v>
      </c>
      <c r="C11" s="183" t="s">
        <v>4</v>
      </c>
      <c r="D11" s="347" t="s">
        <v>1</v>
      </c>
      <c r="E11" s="347"/>
      <c r="F11" s="347"/>
      <c r="G11" s="347"/>
      <c r="H11" s="347"/>
      <c r="I11" s="347"/>
      <c r="J11" s="347"/>
      <c r="K11" s="347"/>
      <c r="L11" s="348"/>
    </row>
    <row r="12" spans="1:12" ht="13.15" customHeight="1" x14ac:dyDescent="0.2">
      <c r="B12" s="184" t="str">
        <f>PLANILHA!A8</f>
        <v>1.0</v>
      </c>
      <c r="C12" s="185"/>
      <c r="D12" s="349" t="str">
        <f>PLANILHA!C8</f>
        <v>SERVIÇOS PRELIMINARES</v>
      </c>
      <c r="E12" s="349"/>
      <c r="F12" s="349"/>
      <c r="G12" s="349"/>
      <c r="H12" s="349"/>
      <c r="I12" s="349"/>
      <c r="J12" s="349"/>
      <c r="K12" s="349"/>
      <c r="L12" s="350"/>
    </row>
    <row r="13" spans="1:12" ht="28.9" customHeight="1" x14ac:dyDescent="0.2">
      <c r="A13" s="311"/>
      <c r="B13" s="186" t="str">
        <f>PLANILHA!A9</f>
        <v>1.1</v>
      </c>
      <c r="C13" s="187" t="s">
        <v>40</v>
      </c>
      <c r="D13" s="351" t="str">
        <f>PLANILHA!C9</f>
        <v>PLACA DE IDENTIFICACAO DE OBRA PUBLICA, TIPO BANNER/PLOTER, CONSTITUIDA POR LONA E IMPRESSAO DIGITAL,INCLUSIVE SUPORTES DE MADEIRA.FORNECIMENTO E COLOCACAO</v>
      </c>
      <c r="E13" s="352"/>
      <c r="F13" s="352"/>
      <c r="G13" s="352"/>
      <c r="H13" s="352"/>
      <c r="I13" s="352"/>
      <c r="J13" s="352"/>
      <c r="K13" s="352"/>
      <c r="L13" s="353"/>
    </row>
    <row r="14" spans="1:12" x14ac:dyDescent="0.2">
      <c r="A14" s="311"/>
      <c r="B14" s="180"/>
      <c r="C14" s="519"/>
      <c r="D14" s="520"/>
      <c r="E14" s="520"/>
      <c r="F14" s="520"/>
      <c r="G14" s="520"/>
      <c r="H14" s="521"/>
      <c r="I14" s="354"/>
      <c r="J14" s="354"/>
      <c r="K14" s="354"/>
      <c r="L14" s="355"/>
    </row>
    <row r="15" spans="1:12" x14ac:dyDescent="0.2">
      <c r="A15" s="311"/>
      <c r="B15" s="180"/>
      <c r="C15" s="519"/>
      <c r="D15" s="520"/>
      <c r="E15" s="521"/>
      <c r="F15" s="189" t="s">
        <v>252</v>
      </c>
      <c r="G15" s="189" t="s">
        <v>253</v>
      </c>
      <c r="H15" s="189" t="s">
        <v>254</v>
      </c>
      <c r="I15" s="356"/>
      <c r="J15" s="522"/>
      <c r="K15" s="522"/>
      <c r="L15" s="357"/>
    </row>
    <row r="16" spans="1:12" x14ac:dyDescent="0.2">
      <c r="A16" s="311"/>
      <c r="B16" s="180"/>
      <c r="C16" s="519"/>
      <c r="D16" s="521"/>
      <c r="E16" s="521"/>
      <c r="F16" s="189">
        <v>1.5</v>
      </c>
      <c r="G16" s="189">
        <v>2</v>
      </c>
      <c r="H16" s="189">
        <f>F16*G16</f>
        <v>3</v>
      </c>
      <c r="I16" s="356"/>
      <c r="J16" s="522"/>
      <c r="K16" s="522"/>
      <c r="L16" s="357"/>
    </row>
    <row r="17" spans="1:13" ht="15" customHeight="1" x14ac:dyDescent="0.2">
      <c r="A17" s="311"/>
      <c r="B17" s="180"/>
      <c r="C17" s="519"/>
      <c r="D17" s="521"/>
      <c r="E17" s="523"/>
      <c r="F17" s="523"/>
      <c r="G17" s="192" t="s">
        <v>38</v>
      </c>
      <c r="H17" s="193">
        <f>ROUND(SUM(H16),2)</f>
        <v>3</v>
      </c>
      <c r="I17" s="524"/>
      <c r="J17" s="524"/>
      <c r="K17" s="524"/>
      <c r="L17" s="370"/>
    </row>
    <row r="18" spans="1:13" x14ac:dyDescent="0.2">
      <c r="A18" s="311"/>
      <c r="B18" s="180"/>
      <c r="C18" s="519"/>
      <c r="D18" s="521"/>
      <c r="E18" s="523"/>
      <c r="F18" s="523"/>
      <c r="G18" s="505"/>
      <c r="H18" s="525"/>
      <c r="I18" s="523"/>
      <c r="J18" s="523"/>
      <c r="K18" s="523"/>
      <c r="L18" s="191"/>
    </row>
    <row r="19" spans="1:13" x14ac:dyDescent="0.2">
      <c r="A19" s="311"/>
      <c r="B19" s="184" t="s">
        <v>11</v>
      </c>
      <c r="C19" s="185"/>
      <c r="D19" s="349" t="str">
        <f>PLANILHA!C11</f>
        <v>REMOÇÕES E DEMOLIÇÕES</v>
      </c>
      <c r="E19" s="349"/>
      <c r="F19" s="349"/>
      <c r="G19" s="349"/>
      <c r="H19" s="349"/>
      <c r="I19" s="349"/>
      <c r="J19" s="349"/>
      <c r="K19" s="349"/>
      <c r="L19" s="350"/>
    </row>
    <row r="20" spans="1:13" ht="27" customHeight="1" x14ac:dyDescent="0.2">
      <c r="A20" s="311"/>
      <c r="B20" s="195" t="str">
        <f>PLANILHA!A12</f>
        <v>2.1</v>
      </c>
      <c r="C20" s="196" t="str">
        <f>PLANILHA!B12</f>
        <v>05.001.0008-A</v>
      </c>
      <c r="D20" s="367" t="str">
        <f>PLANILHA!C12</f>
        <v>DEMOLICAO DE REVESTIMENTO EM ARGAMASSA DE CIMENTO E AREIA EM PAREDE, 3%-DESGASTE DE FERRAMENTAS E EPI</v>
      </c>
      <c r="E20" s="352"/>
      <c r="F20" s="352"/>
      <c r="G20" s="352"/>
      <c r="H20" s="352"/>
      <c r="I20" s="352"/>
      <c r="J20" s="352"/>
      <c r="K20" s="352"/>
      <c r="L20" s="353"/>
    </row>
    <row r="21" spans="1:13" x14ac:dyDescent="0.2">
      <c r="A21" s="311"/>
      <c r="B21" s="198"/>
      <c r="C21" s="519"/>
      <c r="D21" s="520"/>
      <c r="E21" s="520"/>
      <c r="F21" s="520"/>
      <c r="G21" s="520"/>
      <c r="H21" s="521"/>
      <c r="I21" s="522"/>
      <c r="J21" s="522"/>
      <c r="K21" s="522"/>
      <c r="L21" s="357"/>
    </row>
    <row r="22" spans="1:13" ht="15" customHeight="1" x14ac:dyDescent="0.25">
      <c r="A22" s="311"/>
      <c r="B22" s="198"/>
      <c r="C22" s="519"/>
      <c r="D22" s="520"/>
      <c r="E22" s="526"/>
      <c r="F22" s="526"/>
      <c r="G22" s="526"/>
      <c r="H22" s="200" t="s">
        <v>21</v>
      </c>
      <c r="I22" s="368" t="s">
        <v>255</v>
      </c>
      <c r="J22" s="527"/>
      <c r="K22" s="527"/>
      <c r="L22" s="369"/>
    </row>
    <row r="23" spans="1:13" ht="15" x14ac:dyDescent="0.25">
      <c r="A23" s="311"/>
      <c r="B23" s="198"/>
      <c r="C23" s="519"/>
      <c r="D23" s="521"/>
      <c r="E23" s="526"/>
      <c r="F23" s="526"/>
      <c r="G23" s="526"/>
      <c r="H23" s="201">
        <f>H232</f>
        <v>27.791999999999998</v>
      </c>
      <c r="I23" s="528"/>
      <c r="J23" s="529" t="s">
        <v>256</v>
      </c>
      <c r="K23" s="529"/>
      <c r="L23" s="582"/>
    </row>
    <row r="24" spans="1:13" ht="15" x14ac:dyDescent="0.25">
      <c r="A24" s="311"/>
      <c r="B24" s="198"/>
      <c r="C24" s="519"/>
      <c r="D24" s="521"/>
      <c r="E24" s="526"/>
      <c r="F24" s="526"/>
      <c r="G24" s="203" t="s">
        <v>257</v>
      </c>
      <c r="H24" s="204">
        <f>H23</f>
        <v>27.791999999999998</v>
      </c>
      <c r="I24" s="528"/>
      <c r="J24" s="528"/>
      <c r="K24" s="528"/>
      <c r="L24" s="583"/>
    </row>
    <row r="25" spans="1:13" x14ac:dyDescent="0.2">
      <c r="A25" s="311"/>
      <c r="B25" s="198"/>
      <c r="C25" s="519"/>
      <c r="D25" s="521"/>
      <c r="E25" s="528"/>
      <c r="F25" s="528"/>
      <c r="G25" s="528"/>
      <c r="H25" s="528"/>
      <c r="I25" s="530"/>
      <c r="J25" s="531"/>
      <c r="K25" s="528"/>
      <c r="L25" s="583"/>
      <c r="M25" s="205">
        <f>0.8337+(0.8337+50%)</f>
        <v>2.1673999999999998</v>
      </c>
    </row>
    <row r="26" spans="1:13" ht="18.75" customHeight="1" x14ac:dyDescent="0.2">
      <c r="A26" s="311"/>
      <c r="B26" s="206" t="s">
        <v>130</v>
      </c>
      <c r="C26" s="196" t="str">
        <f>PLANILHA!$B$13</f>
        <v>05.001.0147-A</v>
      </c>
      <c r="D26" s="367" t="str">
        <f>PLANILHA!$C$13</f>
        <v>ARRANCAMENTO DE GRADES,GRADIS,ALAMBRADOS,CERCAS E PORTOES, 3%-DESGASTE DE FERRAMENTAS E EPI</v>
      </c>
      <c r="E26" s="352"/>
      <c r="F26" s="352"/>
      <c r="G26" s="352"/>
      <c r="H26" s="352"/>
      <c r="I26" s="352"/>
      <c r="J26" s="352"/>
      <c r="K26" s="352"/>
      <c r="L26" s="353"/>
    </row>
    <row r="27" spans="1:13" x14ac:dyDescent="0.2">
      <c r="A27" s="311"/>
      <c r="B27" s="207"/>
      <c r="C27" s="532"/>
      <c r="D27" s="533"/>
      <c r="E27" s="534"/>
      <c r="F27" s="534"/>
      <c r="G27" s="534"/>
      <c r="H27" s="534"/>
      <c r="I27" s="534"/>
      <c r="J27" s="534"/>
      <c r="K27" s="534"/>
      <c r="L27" s="208"/>
    </row>
    <row r="28" spans="1:13" x14ac:dyDescent="0.2">
      <c r="A28" s="311"/>
      <c r="B28" s="207"/>
      <c r="C28" s="532"/>
      <c r="D28" s="533"/>
      <c r="E28" s="209" t="s">
        <v>258</v>
      </c>
      <c r="F28" s="209" t="s">
        <v>259</v>
      </c>
      <c r="G28" s="209" t="s">
        <v>252</v>
      </c>
      <c r="H28" s="200" t="s">
        <v>21</v>
      </c>
      <c r="I28" s="368" t="s">
        <v>255</v>
      </c>
      <c r="J28" s="527"/>
      <c r="K28" s="527"/>
      <c r="L28" s="369"/>
    </row>
    <row r="29" spans="1:13" x14ac:dyDescent="0.2">
      <c r="A29" s="311"/>
      <c r="B29" s="207"/>
      <c r="C29" s="532"/>
      <c r="D29" s="533"/>
      <c r="E29" s="209" t="s">
        <v>260</v>
      </c>
      <c r="F29" s="209">
        <v>1.31</v>
      </c>
      <c r="G29" s="209">
        <v>31.2</v>
      </c>
      <c r="H29" s="210">
        <f>F29*G29</f>
        <v>40.872</v>
      </c>
      <c r="I29" s="528"/>
      <c r="J29" s="535" t="s">
        <v>261</v>
      </c>
      <c r="K29" s="535"/>
      <c r="L29" s="584"/>
    </row>
    <row r="30" spans="1:13" x14ac:dyDescent="0.2">
      <c r="A30" s="311"/>
      <c r="B30" s="207"/>
      <c r="C30" s="532"/>
      <c r="D30" s="533"/>
      <c r="E30" s="530"/>
      <c r="F30" s="528"/>
      <c r="G30" s="211" t="s">
        <v>257</v>
      </c>
      <c r="H30" s="212">
        <f>H29</f>
        <v>40.872</v>
      </c>
      <c r="I30" s="534"/>
      <c r="J30" s="535"/>
      <c r="K30" s="535"/>
      <c r="L30" s="584"/>
    </row>
    <row r="31" spans="1:13" x14ac:dyDescent="0.2">
      <c r="A31" s="311"/>
      <c r="B31" s="207"/>
      <c r="C31" s="532"/>
      <c r="D31" s="533"/>
      <c r="E31" s="534"/>
      <c r="F31" s="534"/>
      <c r="G31" s="534"/>
      <c r="H31" s="534"/>
      <c r="I31" s="534"/>
      <c r="J31" s="534"/>
      <c r="K31" s="534"/>
      <c r="L31" s="208"/>
    </row>
    <row r="32" spans="1:13" ht="28.5" customHeight="1" x14ac:dyDescent="0.2">
      <c r="B32" s="585" t="str">
        <f>PLANILHA!$A$14</f>
        <v>2.3</v>
      </c>
      <c r="C32" s="196" t="str">
        <f>PLANILHA!$B$14</f>
        <v>05.001.0015-A</v>
      </c>
      <c r="D32" s="367" t="str">
        <f>PLANILHA!$C$14</f>
        <v>DEMOLICAO DE PISO DE LADRILHO COM RESPECTIVA CAMADA DE ARGAMASSA DE ASSENTAMENTO,INCLUSIVE EMPILHAMENTO LATERAL DENTRO DO CANTEIRO DE SERVICO 3%-DESGASTE DE FERRAMENTAS E EPI</v>
      </c>
      <c r="E32" s="352"/>
      <c r="F32" s="352"/>
      <c r="G32" s="352"/>
      <c r="H32" s="352"/>
      <c r="I32" s="352"/>
      <c r="J32" s="352"/>
      <c r="K32" s="352"/>
      <c r="L32" s="353"/>
    </row>
    <row r="33" spans="1:13" x14ac:dyDescent="0.2">
      <c r="B33" s="207"/>
      <c r="C33" s="532"/>
      <c r="D33" s="533"/>
      <c r="E33" s="534"/>
      <c r="F33" s="534"/>
      <c r="G33" s="534"/>
      <c r="H33" s="534"/>
      <c r="I33" s="534"/>
      <c r="J33" s="534"/>
      <c r="K33" s="534"/>
      <c r="L33" s="208"/>
    </row>
    <row r="34" spans="1:13" ht="15" customHeight="1" x14ac:dyDescent="0.25">
      <c r="B34" s="207"/>
      <c r="C34" s="532"/>
      <c r="D34" s="533"/>
      <c r="E34" s="526"/>
      <c r="F34" s="526"/>
      <c r="G34" s="200" t="s">
        <v>21</v>
      </c>
      <c r="H34" s="368" t="s">
        <v>255</v>
      </c>
      <c r="I34" s="527"/>
      <c r="J34" s="527"/>
      <c r="K34" s="527"/>
      <c r="L34" s="369"/>
    </row>
    <row r="35" spans="1:13" ht="15" x14ac:dyDescent="0.25">
      <c r="B35" s="207"/>
      <c r="C35" s="532"/>
      <c r="D35" s="533"/>
      <c r="E35" s="526"/>
      <c r="F35" s="214" t="s">
        <v>262</v>
      </c>
      <c r="G35" s="536">
        <v>1.8</v>
      </c>
      <c r="H35" s="528"/>
      <c r="I35" s="528" t="s">
        <v>263</v>
      </c>
      <c r="J35" s="528"/>
      <c r="K35" s="528"/>
      <c r="L35" s="208"/>
    </row>
    <row r="36" spans="1:13" ht="15" x14ac:dyDescent="0.25">
      <c r="B36" s="207"/>
      <c r="C36" s="532"/>
      <c r="D36" s="533"/>
      <c r="E36" s="526"/>
      <c r="F36" s="214" t="s">
        <v>264</v>
      </c>
      <c r="G36" s="536">
        <v>1</v>
      </c>
      <c r="H36" s="528"/>
      <c r="I36" s="528"/>
      <c r="J36" s="528"/>
      <c r="K36" s="528"/>
      <c r="L36" s="208"/>
    </row>
    <row r="37" spans="1:13" ht="15" x14ac:dyDescent="0.25">
      <c r="B37" s="207"/>
      <c r="C37" s="532"/>
      <c r="D37" s="533"/>
      <c r="E37" s="526"/>
      <c r="F37" s="214" t="s">
        <v>265</v>
      </c>
      <c r="G37" s="215">
        <f>H282</f>
        <v>210.02810000000002</v>
      </c>
      <c r="H37" s="528"/>
      <c r="I37" s="528"/>
      <c r="J37" s="528"/>
      <c r="K37" s="528"/>
      <c r="L37" s="208"/>
    </row>
    <row r="38" spans="1:13" ht="15" x14ac:dyDescent="0.25">
      <c r="B38" s="207"/>
      <c r="C38" s="532"/>
      <c r="D38" s="533"/>
      <c r="E38" s="526"/>
      <c r="F38" s="203" t="s">
        <v>257</v>
      </c>
      <c r="G38" s="204">
        <f>G35+G37+G36</f>
        <v>212.82810000000003</v>
      </c>
      <c r="H38" s="530"/>
      <c r="I38" s="531"/>
      <c r="J38" s="528"/>
      <c r="K38" s="531"/>
      <c r="L38" s="586"/>
      <c r="M38" s="205">
        <f>2.13+(2.13*50%)</f>
        <v>3.1949999999999998</v>
      </c>
    </row>
    <row r="39" spans="1:13" x14ac:dyDescent="0.2">
      <c r="B39" s="207"/>
      <c r="C39" s="532"/>
      <c r="D39" s="533"/>
      <c r="E39" s="534"/>
      <c r="F39" s="534"/>
      <c r="G39" s="534"/>
      <c r="H39" s="534"/>
      <c r="I39" s="530"/>
      <c r="J39" s="534"/>
      <c r="K39" s="534"/>
      <c r="L39" s="208"/>
    </row>
    <row r="40" spans="1:13" x14ac:dyDescent="0.2">
      <c r="B40" s="585" t="str">
        <f>PLANILHA!$A$15</f>
        <v>2.4</v>
      </c>
      <c r="C40" s="196" t="str">
        <f>PLANILHA!$B$15</f>
        <v>05.001.0134-A</v>
      </c>
      <c r="D40" s="367" t="str">
        <f>PLANILHA!$C$15</f>
        <v>ARRANCAMENTO DE PORTAS,JANELAS E CAIXILHOS DE AR CONDICIONADO OU OUTROS 3%-DESGASTE DE FERRAMENTAS E EPI</v>
      </c>
      <c r="E40" s="352"/>
      <c r="F40" s="352"/>
      <c r="G40" s="352"/>
      <c r="H40" s="352"/>
      <c r="I40" s="352"/>
      <c r="J40" s="352"/>
      <c r="K40" s="352"/>
      <c r="L40" s="353"/>
    </row>
    <row r="41" spans="1:13" x14ac:dyDescent="0.2">
      <c r="B41" s="207"/>
      <c r="C41" s="532"/>
      <c r="D41" s="533"/>
      <c r="E41" s="534"/>
      <c r="F41" s="534"/>
      <c r="G41" s="534"/>
      <c r="H41" s="534"/>
      <c r="I41" s="534"/>
      <c r="J41" s="534"/>
      <c r="K41" s="534"/>
      <c r="L41" s="208"/>
    </row>
    <row r="42" spans="1:13" ht="15" x14ac:dyDescent="0.25">
      <c r="B42" s="207"/>
      <c r="C42" s="532"/>
      <c r="D42" s="533"/>
      <c r="E42" s="526"/>
      <c r="F42" s="526"/>
      <c r="G42" s="200" t="s">
        <v>81</v>
      </c>
      <c r="H42" s="368" t="s">
        <v>255</v>
      </c>
      <c r="I42" s="527"/>
      <c r="J42" s="527"/>
      <c r="K42" s="527"/>
      <c r="L42" s="369"/>
    </row>
    <row r="43" spans="1:13" ht="15" x14ac:dyDescent="0.25">
      <c r="B43" s="207"/>
      <c r="C43" s="532"/>
      <c r="D43" s="533"/>
      <c r="E43" s="526"/>
      <c r="F43" s="526"/>
      <c r="G43" s="201">
        <f>PLANILHA!$E$15</f>
        <v>2</v>
      </c>
      <c r="H43" s="528"/>
      <c r="I43" s="528" t="s">
        <v>266</v>
      </c>
      <c r="J43" s="528"/>
      <c r="K43" s="528"/>
      <c r="L43" s="208"/>
    </row>
    <row r="44" spans="1:13" ht="15" x14ac:dyDescent="0.25">
      <c r="B44" s="207"/>
      <c r="C44" s="532"/>
      <c r="D44" s="533"/>
      <c r="E44" s="526"/>
      <c r="F44" s="203" t="s">
        <v>257</v>
      </c>
      <c r="G44" s="204">
        <f>G43</f>
        <v>2</v>
      </c>
      <c r="H44" s="528"/>
      <c r="I44" s="528"/>
      <c r="J44" s="528"/>
      <c r="K44" s="528"/>
      <c r="L44" s="208"/>
    </row>
    <row r="45" spans="1:13" x14ac:dyDescent="0.2">
      <c r="B45" s="207"/>
      <c r="C45" s="532"/>
      <c r="D45" s="533"/>
      <c r="E45" s="534"/>
      <c r="F45" s="534"/>
      <c r="G45" s="534"/>
      <c r="H45" s="534"/>
      <c r="I45" s="530"/>
      <c r="J45" s="534"/>
      <c r="K45" s="534"/>
      <c r="L45" s="208"/>
    </row>
    <row r="46" spans="1:13" ht="20.25" customHeight="1" x14ac:dyDescent="0.2">
      <c r="A46" s="311"/>
      <c r="B46" s="585" t="str">
        <f>PLANILHA!$A$16</f>
        <v>2.5</v>
      </c>
      <c r="C46" s="196" t="str">
        <f>PLANILHA!$B$16</f>
        <v>05.001.0023-A</v>
      </c>
      <c r="D46" s="367" t="str">
        <f>PLANILHA!$C$16</f>
        <v>DEMOLICAO MANUAL DE ALVENARIA DE TIJOLOS FURADOS,INCLUSIVE EMPILHAMENTO LATERAL DENTRO DO CANTEIRO DE SERVICO 3%- DESGASTE DE FERRAMENTAS E EPI</v>
      </c>
      <c r="E46" s="352"/>
      <c r="F46" s="352"/>
      <c r="G46" s="352"/>
      <c r="H46" s="352"/>
      <c r="I46" s="352"/>
      <c r="J46" s="352"/>
      <c r="K46" s="352"/>
      <c r="L46" s="353"/>
    </row>
    <row r="47" spans="1:13" x14ac:dyDescent="0.2">
      <c r="A47" s="311"/>
      <c r="B47" s="216"/>
      <c r="C47" s="532"/>
      <c r="D47" s="533"/>
      <c r="E47" s="534"/>
      <c r="F47" s="534"/>
      <c r="G47" s="534"/>
      <c r="H47" s="534"/>
      <c r="I47" s="534"/>
      <c r="J47" s="534"/>
      <c r="K47" s="534"/>
      <c r="L47" s="208"/>
    </row>
    <row r="48" spans="1:13" ht="12" customHeight="1" x14ac:dyDescent="0.25">
      <c r="A48" s="311"/>
      <c r="B48" s="216"/>
      <c r="C48" s="217" t="s">
        <v>267</v>
      </c>
      <c r="D48" s="218" t="s">
        <v>259</v>
      </c>
      <c r="E48" s="218" t="s">
        <v>252</v>
      </c>
      <c r="F48" s="200" t="s">
        <v>268</v>
      </c>
      <c r="G48" s="200" t="s">
        <v>269</v>
      </c>
      <c r="H48" s="200" t="s">
        <v>242</v>
      </c>
      <c r="I48" s="368" t="s">
        <v>255</v>
      </c>
      <c r="J48" s="527"/>
      <c r="K48" s="527"/>
      <c r="L48" s="369"/>
    </row>
    <row r="49" spans="1:256" ht="15" x14ac:dyDescent="0.25">
      <c r="A49" s="311"/>
      <c r="B49" s="216"/>
      <c r="C49" s="197" t="s">
        <v>260</v>
      </c>
      <c r="D49" s="219">
        <v>2</v>
      </c>
      <c r="E49" s="219">
        <v>31</v>
      </c>
      <c r="F49" s="220">
        <v>0.15</v>
      </c>
      <c r="G49" s="209">
        <v>0.5</v>
      </c>
      <c r="H49" s="209">
        <f>9.3+(9.13*50%)</f>
        <v>13.865000000000002</v>
      </c>
      <c r="I49" s="528"/>
      <c r="J49" s="528"/>
      <c r="K49" s="528"/>
      <c r="L49" s="208"/>
    </row>
    <row r="50" spans="1:256" ht="15" x14ac:dyDescent="0.25">
      <c r="A50" s="311"/>
      <c r="B50" s="216"/>
      <c r="C50" s="533"/>
      <c r="D50" s="526"/>
      <c r="E50" s="528"/>
      <c r="F50" s="528"/>
      <c r="G50" s="221" t="s">
        <v>257</v>
      </c>
      <c r="H50" s="220">
        <f>9.3+(9.13*50%)</f>
        <v>13.865000000000002</v>
      </c>
      <c r="I50" s="528"/>
      <c r="J50" s="530"/>
      <c r="K50" s="528"/>
      <c r="L50" s="208"/>
      <c r="M50" s="511">
        <f>9.3+(9.13*50%)</f>
        <v>13.865000000000002</v>
      </c>
    </row>
    <row r="51" spans="1:256" ht="15" x14ac:dyDescent="0.25">
      <c r="A51" s="311"/>
      <c r="B51" s="216"/>
      <c r="C51" s="533"/>
      <c r="D51" s="526"/>
      <c r="E51" s="528"/>
      <c r="F51" s="528"/>
      <c r="G51" s="504"/>
      <c r="H51" s="537"/>
      <c r="I51" s="528"/>
      <c r="J51" s="530"/>
      <c r="K51" s="528"/>
      <c r="L51" s="208"/>
    </row>
    <row r="52" spans="1:256" ht="33" customHeight="1" x14ac:dyDescent="0.2">
      <c r="B52" s="585" t="str">
        <f>PLANILHA!$A$17</f>
        <v>2.6</v>
      </c>
      <c r="C52" s="196" t="str">
        <f>PLANILHA!$B$17</f>
        <v>04.014.0095-A</v>
      </c>
      <c r="D52" s="367" t="str">
        <f>PLANILHA!$C$17</f>
        <v>RETIRADA DE ENTULHO DE OBRA COM CACAMBA DE ACO TIPO CONTAINER COM 5M3 DE CAPACIDADE,INCLUSIVE CARREGAMENTO,TRANSPORTE E DESCARREGAMENTO.CUSTO POR UNIDADE DE CACAMBA E INCLUI A TAXA PARA DESCARGA EM LOCAIS AUTORIZADOS</v>
      </c>
      <c r="E52" s="352"/>
      <c r="F52" s="352"/>
      <c r="G52" s="352"/>
      <c r="H52" s="352"/>
      <c r="I52" s="352"/>
      <c r="J52" s="352"/>
      <c r="K52" s="352"/>
      <c r="L52" s="353"/>
    </row>
    <row r="53" spans="1:256" ht="15" x14ac:dyDescent="0.25">
      <c r="B53" s="216"/>
      <c r="C53" s="533"/>
      <c r="D53" s="526"/>
      <c r="E53" s="528"/>
      <c r="F53" s="528"/>
      <c r="G53" s="504"/>
      <c r="H53" s="537"/>
      <c r="I53" s="528"/>
      <c r="J53" s="530"/>
      <c r="K53" s="528"/>
      <c r="L53" s="208"/>
    </row>
    <row r="54" spans="1:256" s="222" customFormat="1" ht="16.5" customHeight="1" x14ac:dyDescent="0.2">
      <c r="A54" s="309"/>
      <c r="B54" s="207"/>
      <c r="C54" s="538"/>
      <c r="D54" s="539"/>
      <c r="E54" s="200" t="s">
        <v>242</v>
      </c>
      <c r="F54" s="223" t="s">
        <v>270</v>
      </c>
      <c r="G54" s="213" t="s">
        <v>81</v>
      </c>
      <c r="H54" s="527" t="s">
        <v>255</v>
      </c>
      <c r="I54" s="527"/>
      <c r="J54" s="527"/>
      <c r="K54" s="527"/>
      <c r="L54" s="369"/>
    </row>
    <row r="55" spans="1:256" s="226" customFormat="1" ht="14.25" customHeight="1" x14ac:dyDescent="0.25">
      <c r="A55" s="227"/>
      <c r="B55" s="207"/>
      <c r="C55" s="540"/>
      <c r="D55" s="541"/>
      <c r="E55" s="201">
        <f>H50+M38+M25</f>
        <v>19.227400000000003</v>
      </c>
      <c r="F55" s="214">
        <v>5</v>
      </c>
      <c r="G55" s="225">
        <f>E55/F55</f>
        <v>3.8454800000000007</v>
      </c>
      <c r="H55" s="528"/>
      <c r="I55" s="542" t="s">
        <v>271</v>
      </c>
      <c r="J55" s="542"/>
      <c r="K55" s="542"/>
      <c r="L55" s="379"/>
      <c r="M55" s="224"/>
      <c r="N55" s="224"/>
      <c r="O55" s="224"/>
      <c r="P55" s="224"/>
      <c r="Q55" s="224"/>
      <c r="R55" s="224"/>
      <c r="S55" s="224"/>
      <c r="T55" s="224"/>
      <c r="U55" s="224"/>
      <c r="V55" s="224"/>
      <c r="W55" s="224"/>
      <c r="X55" s="224"/>
      <c r="Y55" s="224"/>
      <c r="Z55" s="224"/>
      <c r="AA55" s="224"/>
      <c r="AB55" s="224"/>
      <c r="AC55" s="224"/>
      <c r="AD55" s="224"/>
      <c r="AE55" s="224"/>
      <c r="AF55" s="224"/>
      <c r="AG55" s="224"/>
      <c r="AH55" s="224"/>
      <c r="AI55" s="224"/>
      <c r="AJ55" s="224"/>
      <c r="AK55" s="224"/>
      <c r="AL55" s="224"/>
      <c r="AM55" s="224"/>
      <c r="AN55" s="224"/>
      <c r="AO55" s="224"/>
      <c r="AP55" s="224"/>
      <c r="AQ55" s="224"/>
      <c r="AR55" s="224"/>
      <c r="AS55" s="224"/>
      <c r="AT55" s="224"/>
      <c r="AU55" s="224"/>
      <c r="AV55" s="224"/>
      <c r="AW55" s="224"/>
      <c r="AX55" s="224"/>
      <c r="AY55" s="224"/>
      <c r="AZ55" s="224"/>
      <c r="BA55" s="224"/>
      <c r="BB55" s="224"/>
      <c r="BC55" s="224"/>
      <c r="BD55" s="224"/>
      <c r="BE55" s="224"/>
      <c r="BF55" s="224"/>
      <c r="BG55" s="224"/>
      <c r="BH55" s="224"/>
      <c r="BI55" s="224"/>
      <c r="BJ55" s="224"/>
      <c r="BK55" s="224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  <c r="CM55" s="224"/>
      <c r="CN55" s="224"/>
      <c r="CO55" s="224"/>
      <c r="CP55" s="224"/>
      <c r="CQ55" s="224"/>
      <c r="CR55" s="224"/>
      <c r="CS55" s="224"/>
      <c r="CT55" s="224"/>
      <c r="CU55" s="224"/>
      <c r="CV55" s="224"/>
      <c r="CW55" s="224"/>
      <c r="CX55" s="224"/>
      <c r="CY55" s="224"/>
      <c r="CZ55" s="224"/>
      <c r="DA55" s="224"/>
      <c r="DB55" s="224"/>
      <c r="DC55" s="224"/>
      <c r="DD55" s="224"/>
      <c r="DE55" s="224"/>
      <c r="DF55" s="224"/>
      <c r="DG55" s="224"/>
      <c r="DH55" s="224"/>
      <c r="DI55" s="224"/>
      <c r="DJ55" s="224"/>
      <c r="DK55" s="224"/>
      <c r="DL55" s="224"/>
      <c r="DM55" s="224"/>
      <c r="DN55" s="224"/>
      <c r="DO55" s="224"/>
      <c r="DP55" s="224"/>
      <c r="DQ55" s="224"/>
      <c r="DR55" s="224"/>
      <c r="DS55" s="224"/>
      <c r="DT55" s="224"/>
      <c r="DU55" s="224"/>
      <c r="DV55" s="224"/>
      <c r="DW55" s="224"/>
      <c r="DX55" s="224"/>
      <c r="DY55" s="224"/>
      <c r="DZ55" s="224"/>
      <c r="EA55" s="224"/>
      <c r="EB55" s="224"/>
      <c r="EC55" s="224"/>
      <c r="ED55" s="224"/>
      <c r="EE55" s="224"/>
      <c r="EF55" s="224"/>
      <c r="EG55" s="224"/>
      <c r="EH55" s="224"/>
      <c r="EI55" s="224"/>
      <c r="EJ55" s="224"/>
      <c r="EK55" s="224"/>
      <c r="EL55" s="224"/>
      <c r="EM55" s="224"/>
      <c r="EN55" s="224"/>
      <c r="EO55" s="224"/>
      <c r="EP55" s="224"/>
      <c r="EQ55" s="224"/>
      <c r="ER55" s="224"/>
      <c r="ES55" s="224"/>
      <c r="ET55" s="224"/>
      <c r="EU55" s="224"/>
      <c r="EV55" s="224"/>
      <c r="EW55" s="224"/>
      <c r="EX55" s="224"/>
      <c r="EY55" s="224"/>
      <c r="EZ55" s="224"/>
      <c r="FA55" s="224"/>
      <c r="FB55" s="224"/>
      <c r="FC55" s="224"/>
      <c r="FD55" s="224"/>
      <c r="FE55" s="224"/>
      <c r="FF55" s="224"/>
      <c r="FG55" s="224"/>
      <c r="FH55" s="224"/>
      <c r="FI55" s="224"/>
      <c r="FJ55" s="224"/>
      <c r="FK55" s="224"/>
      <c r="FL55" s="224"/>
      <c r="FM55" s="224"/>
      <c r="FN55" s="224"/>
      <c r="FO55" s="224"/>
      <c r="FP55" s="224"/>
      <c r="FQ55" s="224"/>
      <c r="FR55" s="224"/>
      <c r="FS55" s="224"/>
      <c r="FT55" s="224"/>
      <c r="FU55" s="224"/>
      <c r="FV55" s="224"/>
      <c r="FW55" s="224"/>
      <c r="FX55" s="224"/>
      <c r="FY55" s="224"/>
      <c r="FZ55" s="224"/>
      <c r="GA55" s="224"/>
      <c r="GB55" s="224"/>
      <c r="GC55" s="224"/>
      <c r="GD55" s="224"/>
      <c r="GE55" s="224"/>
      <c r="GF55" s="224"/>
      <c r="GG55" s="224"/>
      <c r="GH55" s="224"/>
      <c r="GI55" s="224"/>
      <c r="GJ55" s="224"/>
      <c r="GK55" s="224"/>
      <c r="GL55" s="224"/>
      <c r="GM55" s="224"/>
      <c r="GN55" s="224"/>
      <c r="GO55" s="224"/>
      <c r="GP55" s="224"/>
      <c r="GQ55" s="224"/>
      <c r="GR55" s="224"/>
      <c r="GS55" s="224"/>
      <c r="GT55" s="224"/>
      <c r="GU55" s="224"/>
      <c r="GV55" s="224"/>
      <c r="GW55" s="224"/>
      <c r="GX55" s="224"/>
      <c r="GY55" s="224"/>
      <c r="GZ55" s="224"/>
      <c r="HA55" s="224"/>
      <c r="HB55" s="224"/>
      <c r="HC55" s="224"/>
      <c r="HD55" s="224"/>
      <c r="HE55" s="224"/>
      <c r="HF55" s="224"/>
      <c r="HG55" s="224"/>
      <c r="HH55" s="224"/>
      <c r="HI55" s="224"/>
      <c r="HJ55" s="224"/>
      <c r="HK55" s="224"/>
      <c r="HL55" s="224"/>
      <c r="HM55" s="224"/>
      <c r="HN55" s="224"/>
      <c r="HO55" s="224"/>
      <c r="HP55" s="224"/>
      <c r="HQ55" s="224"/>
      <c r="HR55" s="224"/>
      <c r="HS55" s="224"/>
      <c r="HT55" s="224"/>
      <c r="HU55" s="224"/>
      <c r="HV55" s="224"/>
      <c r="HW55" s="224"/>
      <c r="HX55" s="224"/>
      <c r="HY55" s="224"/>
      <c r="HZ55" s="224"/>
      <c r="IA55" s="224"/>
      <c r="IB55" s="224"/>
      <c r="IC55" s="224"/>
      <c r="ID55" s="224"/>
      <c r="IE55" s="224"/>
      <c r="IF55" s="224"/>
      <c r="IG55" s="224"/>
      <c r="IH55" s="224"/>
      <c r="II55" s="224"/>
      <c r="IJ55" s="224"/>
      <c r="IK55" s="224"/>
      <c r="IL55" s="224"/>
      <c r="IM55" s="224"/>
      <c r="IN55" s="224"/>
      <c r="IO55" s="224"/>
      <c r="IP55" s="224"/>
      <c r="IQ55" s="224"/>
      <c r="IR55" s="224"/>
      <c r="IS55" s="224"/>
      <c r="IT55" s="224"/>
      <c r="IU55" s="224"/>
      <c r="IV55" s="224"/>
    </row>
    <row r="56" spans="1:256" s="226" customFormat="1" ht="15" x14ac:dyDescent="0.25">
      <c r="A56" s="227"/>
      <c r="B56" s="207"/>
      <c r="C56" s="540"/>
      <c r="D56" s="541"/>
      <c r="E56" s="537"/>
      <c r="F56" s="203" t="s">
        <v>257</v>
      </c>
      <c r="G56" s="204">
        <f>3.85</f>
        <v>3.85</v>
      </c>
      <c r="H56" s="528"/>
      <c r="I56" s="542"/>
      <c r="J56" s="542"/>
      <c r="K56" s="542"/>
      <c r="L56" s="379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4"/>
      <c r="AC56" s="224"/>
      <c r="AD56" s="224"/>
      <c r="AE56" s="224"/>
      <c r="AF56" s="224"/>
      <c r="AG56" s="224"/>
      <c r="AH56" s="224"/>
      <c r="AI56" s="224"/>
      <c r="AJ56" s="224"/>
      <c r="AK56" s="224"/>
      <c r="AL56" s="224"/>
      <c r="AM56" s="224"/>
      <c r="AN56" s="224"/>
      <c r="AO56" s="224"/>
      <c r="AP56" s="224"/>
      <c r="AQ56" s="224"/>
      <c r="AR56" s="224"/>
      <c r="AS56" s="224"/>
      <c r="AT56" s="224"/>
      <c r="AU56" s="224"/>
      <c r="AV56" s="224"/>
      <c r="AW56" s="224"/>
      <c r="AX56" s="224"/>
      <c r="AY56" s="224"/>
      <c r="AZ56" s="224"/>
      <c r="BA56" s="224"/>
      <c r="BB56" s="224"/>
      <c r="BC56" s="224"/>
      <c r="BD56" s="224"/>
      <c r="BE56" s="224"/>
      <c r="BF56" s="224"/>
      <c r="BG56" s="224"/>
      <c r="BH56" s="224"/>
      <c r="BI56" s="224"/>
      <c r="BJ56" s="224"/>
      <c r="BK56" s="224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  <c r="CM56" s="224"/>
      <c r="CN56" s="224"/>
      <c r="CO56" s="224"/>
      <c r="CP56" s="224"/>
      <c r="CQ56" s="224"/>
      <c r="CR56" s="224"/>
      <c r="CS56" s="224"/>
      <c r="CT56" s="224"/>
      <c r="CU56" s="224"/>
      <c r="CV56" s="224"/>
      <c r="CW56" s="224"/>
      <c r="CX56" s="224"/>
      <c r="CY56" s="224"/>
      <c r="CZ56" s="224"/>
      <c r="DA56" s="224"/>
      <c r="DB56" s="224"/>
      <c r="DC56" s="224"/>
      <c r="DD56" s="224"/>
      <c r="DE56" s="224"/>
      <c r="DF56" s="224"/>
      <c r="DG56" s="224"/>
      <c r="DH56" s="224"/>
      <c r="DI56" s="224"/>
      <c r="DJ56" s="224"/>
      <c r="DK56" s="224"/>
      <c r="DL56" s="224"/>
      <c r="DM56" s="224"/>
      <c r="DN56" s="224"/>
      <c r="DO56" s="224"/>
      <c r="DP56" s="224"/>
      <c r="DQ56" s="224"/>
      <c r="DR56" s="224"/>
      <c r="DS56" s="224"/>
      <c r="DT56" s="224"/>
      <c r="DU56" s="224"/>
      <c r="DV56" s="224"/>
      <c r="DW56" s="224"/>
      <c r="DX56" s="224"/>
      <c r="DY56" s="224"/>
      <c r="DZ56" s="224"/>
      <c r="EA56" s="224"/>
      <c r="EB56" s="224"/>
      <c r="EC56" s="224"/>
      <c r="ED56" s="224"/>
      <c r="EE56" s="224"/>
      <c r="EF56" s="224"/>
      <c r="EG56" s="224"/>
      <c r="EH56" s="224"/>
      <c r="EI56" s="224"/>
      <c r="EJ56" s="224"/>
      <c r="EK56" s="224"/>
      <c r="EL56" s="224"/>
      <c r="EM56" s="224"/>
      <c r="EN56" s="224"/>
      <c r="EO56" s="224"/>
      <c r="EP56" s="224"/>
      <c r="EQ56" s="224"/>
      <c r="ER56" s="224"/>
      <c r="ES56" s="224"/>
      <c r="ET56" s="224"/>
      <c r="EU56" s="224"/>
      <c r="EV56" s="224"/>
      <c r="EW56" s="224"/>
      <c r="EX56" s="224"/>
      <c r="EY56" s="224"/>
      <c r="EZ56" s="224"/>
      <c r="FA56" s="224"/>
      <c r="FB56" s="224"/>
      <c r="FC56" s="224"/>
      <c r="FD56" s="224"/>
      <c r="FE56" s="224"/>
      <c r="FF56" s="224"/>
      <c r="FG56" s="224"/>
      <c r="FH56" s="224"/>
      <c r="FI56" s="224"/>
      <c r="FJ56" s="224"/>
      <c r="FK56" s="224"/>
      <c r="FL56" s="224"/>
      <c r="FM56" s="224"/>
      <c r="FN56" s="224"/>
      <c r="FO56" s="224"/>
      <c r="FP56" s="224"/>
      <c r="FQ56" s="224"/>
      <c r="FR56" s="224"/>
      <c r="FS56" s="224"/>
      <c r="FT56" s="224"/>
      <c r="FU56" s="224"/>
      <c r="FV56" s="224"/>
      <c r="FW56" s="224"/>
      <c r="FX56" s="224"/>
      <c r="FY56" s="224"/>
      <c r="FZ56" s="224"/>
      <c r="GA56" s="224"/>
      <c r="GB56" s="224"/>
      <c r="GC56" s="224"/>
      <c r="GD56" s="224"/>
      <c r="GE56" s="224"/>
      <c r="GF56" s="224"/>
      <c r="GG56" s="224"/>
      <c r="GH56" s="224"/>
      <c r="GI56" s="224"/>
      <c r="GJ56" s="224"/>
      <c r="GK56" s="224"/>
      <c r="GL56" s="224"/>
      <c r="GM56" s="224"/>
      <c r="GN56" s="224"/>
      <c r="GO56" s="224"/>
      <c r="GP56" s="224"/>
      <c r="GQ56" s="224"/>
      <c r="GR56" s="224"/>
      <c r="GS56" s="224"/>
      <c r="GT56" s="224"/>
      <c r="GU56" s="224"/>
      <c r="GV56" s="224"/>
      <c r="GW56" s="224"/>
      <c r="GX56" s="224"/>
      <c r="GY56" s="224"/>
      <c r="GZ56" s="224"/>
      <c r="HA56" s="224"/>
      <c r="HB56" s="224"/>
      <c r="HC56" s="224"/>
      <c r="HD56" s="224"/>
      <c r="HE56" s="224"/>
      <c r="HF56" s="224"/>
      <c r="HG56" s="224"/>
      <c r="HH56" s="224"/>
      <c r="HI56" s="224"/>
      <c r="HJ56" s="224"/>
      <c r="HK56" s="224"/>
      <c r="HL56" s="224"/>
      <c r="HM56" s="224"/>
      <c r="HN56" s="224"/>
      <c r="HO56" s="224"/>
      <c r="HP56" s="224"/>
      <c r="HQ56" s="224"/>
      <c r="HR56" s="224"/>
      <c r="HS56" s="224"/>
      <c r="HT56" s="224"/>
      <c r="HU56" s="224"/>
      <c r="HV56" s="224"/>
      <c r="HW56" s="224"/>
      <c r="HX56" s="224"/>
      <c r="HY56" s="224"/>
      <c r="HZ56" s="224"/>
      <c r="IA56" s="224"/>
      <c r="IB56" s="224"/>
      <c r="IC56" s="224"/>
      <c r="ID56" s="224"/>
      <c r="IE56" s="224"/>
      <c r="IF56" s="224"/>
      <c r="IG56" s="224"/>
      <c r="IH56" s="224"/>
      <c r="II56" s="224"/>
      <c r="IJ56" s="224"/>
      <c r="IK56" s="224"/>
      <c r="IL56" s="224"/>
      <c r="IM56" s="224"/>
      <c r="IN56" s="224"/>
      <c r="IO56" s="224"/>
      <c r="IP56" s="224"/>
      <c r="IQ56" s="224"/>
      <c r="IR56" s="224"/>
      <c r="IS56" s="224"/>
      <c r="IT56" s="224"/>
      <c r="IU56" s="224"/>
      <c r="IV56" s="224"/>
    </row>
    <row r="57" spans="1:256" s="226" customFormat="1" ht="15" x14ac:dyDescent="0.25">
      <c r="A57" s="227"/>
      <c r="B57" s="207"/>
      <c r="C57" s="540"/>
      <c r="D57" s="541"/>
      <c r="E57" s="537"/>
      <c r="F57" s="537"/>
      <c r="G57" s="543"/>
      <c r="H57" s="537"/>
      <c r="I57" s="537"/>
      <c r="J57" s="544"/>
      <c r="K57" s="537"/>
      <c r="L57" s="228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24"/>
      <c r="AS57" s="224"/>
      <c r="AT57" s="224"/>
      <c r="AU57" s="224"/>
      <c r="AV57" s="224"/>
      <c r="AW57" s="224"/>
      <c r="AX57" s="224"/>
      <c r="AY57" s="224"/>
      <c r="AZ57" s="224"/>
      <c r="BA57" s="224"/>
      <c r="BB57" s="224"/>
      <c r="BC57" s="224"/>
      <c r="BD57" s="224"/>
      <c r="BE57" s="224"/>
      <c r="BF57" s="224"/>
      <c r="BG57" s="224"/>
      <c r="BH57" s="224"/>
      <c r="BI57" s="224"/>
      <c r="BJ57" s="224"/>
      <c r="BK57" s="224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  <c r="CM57" s="224"/>
      <c r="CN57" s="224"/>
      <c r="CO57" s="224"/>
      <c r="CP57" s="224"/>
      <c r="CQ57" s="224"/>
      <c r="CR57" s="224"/>
      <c r="CS57" s="224"/>
      <c r="CT57" s="224"/>
      <c r="CU57" s="224"/>
      <c r="CV57" s="224"/>
      <c r="CW57" s="224"/>
      <c r="CX57" s="224"/>
      <c r="CY57" s="224"/>
      <c r="CZ57" s="224"/>
      <c r="DA57" s="224"/>
      <c r="DB57" s="224"/>
      <c r="DC57" s="224"/>
      <c r="DD57" s="224"/>
      <c r="DE57" s="224"/>
      <c r="DF57" s="224"/>
      <c r="DG57" s="224"/>
      <c r="DH57" s="224"/>
      <c r="DI57" s="224"/>
      <c r="DJ57" s="224"/>
      <c r="DK57" s="224"/>
      <c r="DL57" s="224"/>
      <c r="DM57" s="224"/>
      <c r="DN57" s="224"/>
      <c r="DO57" s="224"/>
      <c r="DP57" s="224"/>
      <c r="DQ57" s="224"/>
      <c r="DR57" s="224"/>
      <c r="DS57" s="224"/>
      <c r="DT57" s="224"/>
      <c r="DU57" s="224"/>
      <c r="DV57" s="224"/>
      <c r="DW57" s="224"/>
      <c r="DX57" s="224"/>
      <c r="DY57" s="224"/>
      <c r="DZ57" s="224"/>
      <c r="EA57" s="224"/>
      <c r="EB57" s="224"/>
      <c r="EC57" s="224"/>
      <c r="ED57" s="224"/>
      <c r="EE57" s="224"/>
      <c r="EF57" s="224"/>
      <c r="EG57" s="224"/>
      <c r="EH57" s="224"/>
      <c r="EI57" s="224"/>
      <c r="EJ57" s="224"/>
      <c r="EK57" s="224"/>
      <c r="EL57" s="224"/>
      <c r="EM57" s="224"/>
      <c r="EN57" s="224"/>
      <c r="EO57" s="224"/>
      <c r="EP57" s="224"/>
      <c r="EQ57" s="224"/>
      <c r="ER57" s="224"/>
      <c r="ES57" s="224"/>
      <c r="ET57" s="224"/>
      <c r="EU57" s="224"/>
      <c r="EV57" s="224"/>
      <c r="EW57" s="224"/>
      <c r="EX57" s="224"/>
      <c r="EY57" s="224"/>
      <c r="EZ57" s="224"/>
      <c r="FA57" s="224"/>
      <c r="FB57" s="224"/>
      <c r="FC57" s="224"/>
      <c r="FD57" s="224"/>
      <c r="FE57" s="224"/>
      <c r="FF57" s="224"/>
      <c r="FG57" s="224"/>
      <c r="FH57" s="224"/>
      <c r="FI57" s="224"/>
      <c r="FJ57" s="224"/>
      <c r="FK57" s="224"/>
      <c r="FL57" s="224"/>
      <c r="FM57" s="224"/>
      <c r="FN57" s="224"/>
      <c r="FO57" s="224"/>
      <c r="FP57" s="224"/>
      <c r="FQ57" s="224"/>
      <c r="FR57" s="224"/>
      <c r="FS57" s="224"/>
      <c r="FT57" s="224"/>
      <c r="FU57" s="224"/>
      <c r="FV57" s="224"/>
      <c r="FW57" s="224"/>
      <c r="FX57" s="224"/>
      <c r="FY57" s="224"/>
      <c r="FZ57" s="224"/>
      <c r="GA57" s="224"/>
      <c r="GB57" s="224"/>
      <c r="GC57" s="224"/>
      <c r="GD57" s="224"/>
      <c r="GE57" s="224"/>
      <c r="GF57" s="224"/>
      <c r="GG57" s="224"/>
      <c r="GH57" s="224"/>
      <c r="GI57" s="224"/>
      <c r="GJ57" s="224"/>
      <c r="GK57" s="224"/>
      <c r="GL57" s="224"/>
      <c r="GM57" s="224"/>
      <c r="GN57" s="224"/>
      <c r="GO57" s="224"/>
      <c r="GP57" s="224"/>
      <c r="GQ57" s="224"/>
      <c r="GR57" s="224"/>
      <c r="GS57" s="224"/>
      <c r="GT57" s="224"/>
      <c r="GU57" s="224"/>
      <c r="GV57" s="224"/>
      <c r="GW57" s="224"/>
      <c r="GX57" s="224"/>
      <c r="GY57" s="224"/>
      <c r="GZ57" s="224"/>
      <c r="HA57" s="224"/>
      <c r="HB57" s="224"/>
      <c r="HC57" s="224"/>
      <c r="HD57" s="224"/>
      <c r="HE57" s="224"/>
      <c r="HF57" s="224"/>
      <c r="HG57" s="224"/>
      <c r="HH57" s="224"/>
      <c r="HI57" s="224"/>
      <c r="HJ57" s="224"/>
      <c r="HK57" s="224"/>
      <c r="HL57" s="224"/>
      <c r="HM57" s="224"/>
      <c r="HN57" s="224"/>
      <c r="HO57" s="224"/>
      <c r="HP57" s="224"/>
      <c r="HQ57" s="224"/>
      <c r="HR57" s="224"/>
      <c r="HS57" s="224"/>
      <c r="HT57" s="224"/>
      <c r="HU57" s="224"/>
      <c r="HV57" s="224"/>
      <c r="HW57" s="224"/>
      <c r="HX57" s="224"/>
      <c r="HY57" s="224"/>
      <c r="HZ57" s="224"/>
      <c r="IA57" s="224"/>
      <c r="IB57" s="224"/>
      <c r="IC57" s="224"/>
      <c r="ID57" s="224"/>
      <c r="IE57" s="224"/>
      <c r="IF57" s="224"/>
      <c r="IG57" s="224"/>
      <c r="IH57" s="224"/>
      <c r="II57" s="224"/>
      <c r="IJ57" s="224"/>
      <c r="IK57" s="224"/>
      <c r="IL57" s="224"/>
      <c r="IM57" s="224"/>
      <c r="IN57" s="224"/>
      <c r="IO57" s="224"/>
      <c r="IP57" s="224"/>
      <c r="IQ57" s="224"/>
      <c r="IR57" s="224"/>
      <c r="IS57" s="224"/>
      <c r="IT57" s="224"/>
      <c r="IU57" s="224"/>
      <c r="IV57" s="224"/>
    </row>
    <row r="58" spans="1:256" s="179" customFormat="1" ht="13.15" customHeight="1" x14ac:dyDescent="0.2">
      <c r="A58" s="227"/>
      <c r="B58" s="184" t="s">
        <v>12</v>
      </c>
      <c r="C58" s="185"/>
      <c r="D58" s="371" t="str">
        <f>PLANILHA!C20</f>
        <v>ESQUADRIAS</v>
      </c>
      <c r="E58" s="349"/>
      <c r="F58" s="349"/>
      <c r="G58" s="349"/>
      <c r="H58" s="349"/>
      <c r="I58" s="349"/>
      <c r="J58" s="349"/>
      <c r="K58" s="349"/>
      <c r="L58" s="350"/>
    </row>
    <row r="59" spans="1:256" s="179" customFormat="1" x14ac:dyDescent="0.2">
      <c r="A59" s="311"/>
      <c r="B59" s="229" t="s">
        <v>28</v>
      </c>
      <c r="C59" s="170" t="str">
        <f>PLANILHA!B21</f>
        <v>02259</v>
      </c>
      <c r="D59" s="372" t="str">
        <f>PLANILHA!C21</f>
        <v>ALIZAR EM MADEIRA, DE (5X2)CM, GRUPO V</v>
      </c>
      <c r="E59" s="373"/>
      <c r="F59" s="373"/>
      <c r="G59" s="373"/>
      <c r="H59" s="373"/>
      <c r="I59" s="373"/>
      <c r="J59" s="373"/>
      <c r="K59" s="373"/>
      <c r="L59" s="374"/>
    </row>
    <row r="60" spans="1:256" s="179" customFormat="1" ht="15" customHeight="1" x14ac:dyDescent="0.2">
      <c r="A60" s="311"/>
      <c r="B60" s="231"/>
      <c r="C60" s="532"/>
      <c r="D60" s="545"/>
      <c r="E60" s="232"/>
      <c r="F60" s="232"/>
      <c r="G60" s="233"/>
      <c r="H60" s="233"/>
      <c r="I60" s="546"/>
      <c r="J60" s="546"/>
      <c r="K60" s="546"/>
      <c r="L60" s="234"/>
    </row>
    <row r="61" spans="1:256" s="179" customFormat="1" ht="15" x14ac:dyDescent="0.25">
      <c r="A61" s="311"/>
      <c r="B61" s="180"/>
      <c r="C61" s="547"/>
      <c r="D61" s="526"/>
      <c r="E61" s="375" t="s">
        <v>272</v>
      </c>
      <c r="F61" s="375"/>
      <c r="G61" s="209" t="s">
        <v>253</v>
      </c>
      <c r="H61" s="189" t="s">
        <v>23</v>
      </c>
      <c r="I61" s="368" t="s">
        <v>255</v>
      </c>
      <c r="J61" s="527"/>
      <c r="K61" s="527"/>
      <c r="L61" s="369"/>
    </row>
    <row r="62" spans="1:256" s="179" customFormat="1" ht="30" customHeight="1" x14ac:dyDescent="0.25">
      <c r="A62" s="311"/>
      <c r="B62" s="180"/>
      <c r="C62" s="547"/>
      <c r="D62" s="526"/>
      <c r="E62" s="376" t="str">
        <f>C147</f>
        <v>Consultório indiferenciado 01</v>
      </c>
      <c r="F62" s="376"/>
      <c r="G62" s="235">
        <v>8.4</v>
      </c>
      <c r="H62" s="235">
        <f t="shared" ref="H62:H67" si="0">G62</f>
        <v>8.4</v>
      </c>
      <c r="I62" s="548" t="s">
        <v>273</v>
      </c>
      <c r="J62" s="548"/>
      <c r="K62" s="548"/>
      <c r="L62" s="378"/>
    </row>
    <row r="63" spans="1:256" s="179" customFormat="1" ht="12.75" customHeight="1" x14ac:dyDescent="0.25">
      <c r="A63" s="311"/>
      <c r="B63" s="180"/>
      <c r="C63" s="547"/>
      <c r="D63" s="526"/>
      <c r="E63" s="376" t="str">
        <f>C148</f>
        <v>Consultório indiferenciado 02</v>
      </c>
      <c r="F63" s="376"/>
      <c r="G63" s="235">
        <v>8.4</v>
      </c>
      <c r="H63" s="235">
        <f t="shared" si="0"/>
        <v>8.4</v>
      </c>
      <c r="I63" s="549"/>
      <c r="J63" s="549"/>
      <c r="K63" s="549"/>
      <c r="L63" s="237"/>
    </row>
    <row r="64" spans="1:256" s="179" customFormat="1" ht="15" x14ac:dyDescent="0.25">
      <c r="A64" s="311"/>
      <c r="B64" s="180"/>
      <c r="C64" s="547"/>
      <c r="D64" s="526"/>
      <c r="E64" s="376" t="s">
        <v>274</v>
      </c>
      <c r="F64" s="376"/>
      <c r="G64" s="235">
        <v>8.4</v>
      </c>
      <c r="H64" s="235">
        <f t="shared" si="0"/>
        <v>8.4</v>
      </c>
      <c r="I64" s="548"/>
      <c r="J64" s="548"/>
      <c r="K64" s="548"/>
      <c r="L64" s="378"/>
    </row>
    <row r="65" spans="1:14" s="179" customFormat="1" ht="15" x14ac:dyDescent="0.25">
      <c r="A65" s="311"/>
      <c r="B65" s="180"/>
      <c r="C65" s="547"/>
      <c r="D65" s="526"/>
      <c r="E65" s="376" t="s">
        <v>275</v>
      </c>
      <c r="F65" s="376"/>
      <c r="G65" s="235">
        <v>8.4</v>
      </c>
      <c r="H65" s="235">
        <f t="shared" si="0"/>
        <v>8.4</v>
      </c>
      <c r="I65" s="549"/>
      <c r="J65" s="549"/>
      <c r="K65" s="549"/>
      <c r="L65" s="237"/>
    </row>
    <row r="66" spans="1:14" s="179" customFormat="1" ht="15" x14ac:dyDescent="0.25">
      <c r="A66" s="311"/>
      <c r="B66" s="180"/>
      <c r="C66" s="547"/>
      <c r="D66" s="526"/>
      <c r="E66" s="238" t="s">
        <v>276</v>
      </c>
      <c r="F66" s="239"/>
      <c r="G66" s="235">
        <v>8.4</v>
      </c>
      <c r="H66" s="235">
        <f t="shared" si="0"/>
        <v>8.4</v>
      </c>
      <c r="I66" s="549"/>
      <c r="J66" s="549"/>
      <c r="K66" s="549"/>
      <c r="L66" s="237"/>
    </row>
    <row r="67" spans="1:14" s="179" customFormat="1" ht="15" x14ac:dyDescent="0.25">
      <c r="A67" s="311"/>
      <c r="B67" s="180"/>
      <c r="C67" s="547"/>
      <c r="D67" s="526"/>
      <c r="E67" s="238" t="s">
        <v>277</v>
      </c>
      <c r="F67" s="239"/>
      <c r="G67" s="235">
        <v>8.4</v>
      </c>
      <c r="H67" s="235">
        <f t="shared" si="0"/>
        <v>8.4</v>
      </c>
      <c r="I67" s="549"/>
      <c r="J67" s="549"/>
      <c r="K67" s="549"/>
      <c r="L67" s="237"/>
    </row>
    <row r="68" spans="1:14" s="179" customFormat="1" ht="12.75" customHeight="1" x14ac:dyDescent="0.25">
      <c r="A68" s="311"/>
      <c r="B68" s="180"/>
      <c r="C68" s="547"/>
      <c r="D68" s="526"/>
      <c r="E68" s="526"/>
      <c r="F68" s="240"/>
      <c r="G68" s="192" t="s">
        <v>38</v>
      </c>
      <c r="H68" s="192">
        <f>SUM(H62:H67)</f>
        <v>50.4</v>
      </c>
      <c r="I68" s="548"/>
      <c r="J68" s="548"/>
      <c r="K68" s="548"/>
      <c r="L68" s="378"/>
    </row>
    <row r="69" spans="1:14" s="179" customFormat="1" ht="12.75" customHeight="1" x14ac:dyDescent="0.25">
      <c r="A69" s="311"/>
      <c r="B69" s="180"/>
      <c r="C69" s="547"/>
      <c r="D69" s="526"/>
      <c r="E69" s="526"/>
      <c r="F69" s="526"/>
      <c r="G69" s="526"/>
      <c r="H69" s="526"/>
      <c r="I69" s="548"/>
      <c r="J69" s="548"/>
      <c r="K69" s="548"/>
      <c r="L69" s="378"/>
    </row>
    <row r="70" spans="1:14" s="179" customFormat="1" x14ac:dyDescent="0.2">
      <c r="A70" s="311"/>
      <c r="B70" s="231"/>
      <c r="C70" s="532"/>
      <c r="D70" s="545"/>
      <c r="E70" s="546"/>
      <c r="F70" s="546"/>
      <c r="G70" s="546"/>
      <c r="H70" s="546"/>
      <c r="I70" s="546"/>
      <c r="J70" s="546"/>
      <c r="K70" s="546"/>
      <c r="L70" s="234"/>
    </row>
    <row r="71" spans="1:14" s="179" customFormat="1" ht="20.25" customHeight="1" x14ac:dyDescent="0.2">
      <c r="A71" s="311"/>
      <c r="B71" s="229" t="s">
        <v>18</v>
      </c>
      <c r="C71" s="170" t="str">
        <f>PLANILHA!$B$22</f>
        <v>02258</v>
      </c>
      <c r="D71" s="380" t="str">
        <f>PLANILHA!$C$22</f>
        <v>MARCO EM MADEIRA, DE (13X3)CM, GRUPO V</v>
      </c>
      <c r="E71" s="381"/>
      <c r="F71" s="381"/>
      <c r="G71" s="381"/>
      <c r="H71" s="381"/>
      <c r="I71" s="381"/>
      <c r="J71" s="381"/>
      <c r="K71" s="381"/>
      <c r="L71" s="388"/>
    </row>
    <row r="72" spans="1:14" s="179" customFormat="1" x14ac:dyDescent="0.2">
      <c r="A72" s="311"/>
      <c r="B72" s="231"/>
      <c r="C72" s="532"/>
      <c r="D72" s="545"/>
      <c r="E72" s="232"/>
      <c r="F72" s="232"/>
      <c r="G72" s="232"/>
      <c r="H72" s="232"/>
      <c r="I72" s="546"/>
      <c r="J72" s="546"/>
      <c r="K72" s="546"/>
      <c r="L72" s="234"/>
    </row>
    <row r="73" spans="1:14" s="179" customFormat="1" ht="15" customHeight="1" x14ac:dyDescent="0.2">
      <c r="A73" s="311"/>
      <c r="B73" s="231"/>
      <c r="C73" s="532"/>
      <c r="D73" s="530"/>
      <c r="E73" s="382" t="s">
        <v>258</v>
      </c>
      <c r="F73" s="382"/>
      <c r="G73" s="209" t="s">
        <v>253</v>
      </c>
      <c r="H73" s="189" t="s">
        <v>23</v>
      </c>
      <c r="I73" s="546"/>
      <c r="J73" s="550" t="str">
        <f>I80</f>
        <v>Observação</v>
      </c>
      <c r="K73" s="550"/>
      <c r="L73" s="383"/>
    </row>
    <row r="74" spans="1:14" s="179" customFormat="1" ht="12.75" customHeight="1" x14ac:dyDescent="0.2">
      <c r="A74" s="311"/>
      <c r="B74" s="180"/>
      <c r="C74" s="547"/>
      <c r="D74" s="551"/>
      <c r="E74" s="376" t="s">
        <v>277</v>
      </c>
      <c r="F74" s="376"/>
      <c r="G74" s="241">
        <f>2.1+2.1+0.9</f>
        <v>5.1000000000000005</v>
      </c>
      <c r="H74" s="241">
        <f>G74</f>
        <v>5.1000000000000005</v>
      </c>
      <c r="I74" s="522" t="s">
        <v>278</v>
      </c>
      <c r="J74" s="522"/>
      <c r="K74" s="522"/>
      <c r="L74" s="357"/>
    </row>
    <row r="75" spans="1:14" s="179" customFormat="1" x14ac:dyDescent="0.2">
      <c r="A75" s="311"/>
      <c r="B75" s="180"/>
      <c r="C75" s="547"/>
      <c r="D75" s="551"/>
      <c r="E75" s="376" t="str">
        <f>E65</f>
        <v>Sala de curativos</v>
      </c>
      <c r="F75" s="376"/>
      <c r="G75" s="241">
        <f>2.1+2.1+0.9</f>
        <v>5.1000000000000005</v>
      </c>
      <c r="H75" s="241">
        <f>G75</f>
        <v>5.1000000000000005</v>
      </c>
      <c r="I75" s="548"/>
      <c r="J75" s="548"/>
      <c r="K75" s="548"/>
      <c r="L75" s="378"/>
    </row>
    <row r="76" spans="1:14" s="179" customFormat="1" x14ac:dyDescent="0.2">
      <c r="A76" s="311"/>
      <c r="B76" s="180"/>
      <c r="C76" s="547"/>
      <c r="D76" s="519"/>
      <c r="E76" s="523"/>
      <c r="F76" s="240"/>
      <c r="G76" s="192" t="s">
        <v>38</v>
      </c>
      <c r="H76" s="192">
        <f>SUM(H74:H75)</f>
        <v>10.200000000000001</v>
      </c>
      <c r="I76" s="524"/>
      <c r="J76" s="524"/>
      <c r="K76" s="524"/>
      <c r="L76" s="370"/>
      <c r="N76" s="179">
        <f>63.9/2</f>
        <v>31.95</v>
      </c>
    </row>
    <row r="77" spans="1:14" s="179" customFormat="1" x14ac:dyDescent="0.2">
      <c r="A77" s="311"/>
      <c r="B77" s="180"/>
      <c r="C77" s="547"/>
      <c r="D77" s="519"/>
      <c r="E77" s="523"/>
      <c r="F77" s="523"/>
      <c r="G77" s="242"/>
      <c r="H77" s="242"/>
      <c r="I77" s="521"/>
      <c r="J77" s="521"/>
      <c r="K77" s="521"/>
      <c r="L77" s="194"/>
    </row>
    <row r="78" spans="1:14" s="179" customFormat="1" ht="36.75" customHeight="1" x14ac:dyDescent="0.2">
      <c r="A78" s="311"/>
      <c r="B78" s="229" t="s">
        <v>20</v>
      </c>
      <c r="C78" s="170" t="str">
        <f>PLANILHA!$B$23</f>
        <v>14.002.0240-A</v>
      </c>
      <c r="D78" s="380" t="str">
        <f>PLANILHA!$C$23</f>
        <v>PROTECAO PARA PORTA EM ACO INOX ESCOVADO,CHAPA N°14,COM 30CM DE ALTURA.FORNECIMENTO E COLOCACAO 3%-DESGASTE DE FERRAMENTAS E EPI 15%-PERDAS E DEMAIS MATERIAIS NECESSARIOS</v>
      </c>
      <c r="E78" s="381"/>
      <c r="F78" s="381"/>
      <c r="G78" s="381"/>
      <c r="H78" s="381"/>
      <c r="I78" s="381"/>
      <c r="J78" s="381"/>
      <c r="K78" s="381"/>
      <c r="L78" s="388"/>
    </row>
    <row r="79" spans="1:14" s="179" customFormat="1" x14ac:dyDescent="0.2">
      <c r="A79" s="311"/>
      <c r="B79" s="231"/>
      <c r="C79" s="552"/>
      <c r="D79" s="545"/>
      <c r="E79" s="530"/>
      <c r="F79" s="232"/>
      <c r="G79" s="233"/>
      <c r="H79" s="233"/>
      <c r="I79" s="546"/>
      <c r="J79" s="546"/>
      <c r="K79" s="546"/>
      <c r="L79" s="234"/>
    </row>
    <row r="80" spans="1:14" s="179" customFormat="1" ht="15" customHeight="1" x14ac:dyDescent="0.2">
      <c r="A80" s="311"/>
      <c r="B80" s="180"/>
      <c r="C80" s="519"/>
      <c r="D80" s="519"/>
      <c r="E80" s="382" t="s">
        <v>272</v>
      </c>
      <c r="F80" s="382"/>
      <c r="G80" s="209" t="s">
        <v>252</v>
      </c>
      <c r="H80" s="189" t="s">
        <v>23</v>
      </c>
      <c r="I80" s="368" t="s">
        <v>255</v>
      </c>
      <c r="J80" s="527"/>
      <c r="K80" s="527"/>
      <c r="L80" s="369"/>
    </row>
    <row r="81" spans="1:12" s="179" customFormat="1" ht="15" customHeight="1" x14ac:dyDescent="0.2">
      <c r="A81" s="311"/>
      <c r="B81" s="180"/>
      <c r="C81" s="519"/>
      <c r="D81" s="519"/>
      <c r="E81" s="384" t="s">
        <v>279</v>
      </c>
      <c r="F81" s="384"/>
      <c r="G81" s="241">
        <v>0.9</v>
      </c>
      <c r="H81" s="241">
        <f>G81</f>
        <v>0.9</v>
      </c>
      <c r="I81" s="389"/>
      <c r="J81" s="548"/>
      <c r="K81" s="548"/>
      <c r="L81" s="378"/>
    </row>
    <row r="82" spans="1:12" s="179" customFormat="1" x14ac:dyDescent="0.2">
      <c r="A82" s="311"/>
      <c r="B82" s="180"/>
      <c r="C82" s="519"/>
      <c r="D82" s="519"/>
      <c r="E82" s="384" t="s">
        <v>280</v>
      </c>
      <c r="F82" s="384"/>
      <c r="G82" s="241">
        <v>0.9</v>
      </c>
      <c r="H82" s="241">
        <f>G82</f>
        <v>0.9</v>
      </c>
      <c r="I82" s="385"/>
      <c r="J82" s="524"/>
      <c r="K82" s="524"/>
      <c r="L82" s="370"/>
    </row>
    <row r="83" spans="1:12" s="179" customFormat="1" x14ac:dyDescent="0.2">
      <c r="A83" s="311"/>
      <c r="B83" s="180"/>
      <c r="C83" s="519"/>
      <c r="D83" s="519"/>
      <c r="E83" s="375" t="s">
        <v>281</v>
      </c>
      <c r="F83" s="375"/>
      <c r="G83" s="241">
        <v>0.9</v>
      </c>
      <c r="H83" s="241">
        <f t="shared" ref="H83:H99" si="1">G83</f>
        <v>0.9</v>
      </c>
      <c r="I83" s="521"/>
      <c r="J83" s="521"/>
      <c r="K83" s="521"/>
      <c r="L83" s="194"/>
    </row>
    <row r="84" spans="1:12" s="179" customFormat="1" x14ac:dyDescent="0.2">
      <c r="A84" s="311"/>
      <c r="B84" s="180"/>
      <c r="C84" s="519"/>
      <c r="D84" s="519"/>
      <c r="E84" s="375" t="s">
        <v>282</v>
      </c>
      <c r="F84" s="375"/>
      <c r="G84" s="241">
        <v>0.9</v>
      </c>
      <c r="H84" s="241">
        <f t="shared" si="1"/>
        <v>0.9</v>
      </c>
      <c r="I84" s="521"/>
      <c r="J84" s="521"/>
      <c r="K84" s="521"/>
      <c r="L84" s="194"/>
    </row>
    <row r="85" spans="1:12" s="179" customFormat="1" x14ac:dyDescent="0.2">
      <c r="A85" s="311"/>
      <c r="B85" s="180"/>
      <c r="C85" s="519"/>
      <c r="D85" s="519"/>
      <c r="E85" s="386" t="s">
        <v>283</v>
      </c>
      <c r="F85" s="387"/>
      <c r="G85" s="241">
        <v>0.9</v>
      </c>
      <c r="H85" s="241">
        <f t="shared" si="1"/>
        <v>0.9</v>
      </c>
      <c r="I85" s="521"/>
      <c r="J85" s="521"/>
      <c r="K85" s="521"/>
      <c r="L85" s="194"/>
    </row>
    <row r="86" spans="1:12" s="179" customFormat="1" x14ac:dyDescent="0.2">
      <c r="A86" s="311"/>
      <c r="B86" s="180"/>
      <c r="C86" s="519"/>
      <c r="D86" s="519"/>
      <c r="E86" s="244" t="s">
        <v>284</v>
      </c>
      <c r="F86" s="245"/>
      <c r="G86" s="241">
        <v>0.9</v>
      </c>
      <c r="H86" s="241">
        <f t="shared" si="1"/>
        <v>0.9</v>
      </c>
      <c r="I86" s="521"/>
      <c r="J86" s="521"/>
      <c r="K86" s="521"/>
      <c r="L86" s="194"/>
    </row>
    <row r="87" spans="1:12" s="179" customFormat="1" x14ac:dyDescent="0.2">
      <c r="A87" s="311"/>
      <c r="B87" s="180"/>
      <c r="C87" s="519"/>
      <c r="D87" s="519"/>
      <c r="E87" s="375" t="str">
        <f>E64</f>
        <v>Sala de fisioterapia</v>
      </c>
      <c r="F87" s="375"/>
      <c r="G87" s="241">
        <v>0.9</v>
      </c>
      <c r="H87" s="241">
        <f t="shared" si="1"/>
        <v>0.9</v>
      </c>
      <c r="I87" s="521"/>
      <c r="J87" s="521"/>
      <c r="K87" s="521"/>
      <c r="L87" s="194"/>
    </row>
    <row r="88" spans="1:12" s="179" customFormat="1" ht="15" customHeight="1" x14ac:dyDescent="0.2">
      <c r="A88" s="311"/>
      <c r="B88" s="180"/>
      <c r="C88" s="519"/>
      <c r="D88" s="519"/>
      <c r="E88" s="394" t="s">
        <v>285</v>
      </c>
      <c r="F88" s="395"/>
      <c r="G88" s="246">
        <f>2*0.9</f>
        <v>1.8</v>
      </c>
      <c r="H88" s="246">
        <f t="shared" si="1"/>
        <v>1.8</v>
      </c>
      <c r="I88" s="553"/>
      <c r="J88" s="554" t="s">
        <v>286</v>
      </c>
      <c r="K88" s="554"/>
      <c r="L88" s="392"/>
    </row>
    <row r="89" spans="1:12" s="179" customFormat="1" ht="15" customHeight="1" x14ac:dyDescent="0.2">
      <c r="A89" s="311"/>
      <c r="B89" s="180"/>
      <c r="C89" s="519"/>
      <c r="D89" s="519"/>
      <c r="E89" s="396" t="s">
        <v>287</v>
      </c>
      <c r="F89" s="397"/>
      <c r="G89" s="247">
        <v>0.9</v>
      </c>
      <c r="H89" s="247">
        <f t="shared" si="1"/>
        <v>0.9</v>
      </c>
      <c r="I89" s="555"/>
      <c r="J89" s="556"/>
      <c r="K89" s="556"/>
      <c r="L89" s="248"/>
    </row>
    <row r="90" spans="1:12" s="179" customFormat="1" ht="12" customHeight="1" x14ac:dyDescent="0.2">
      <c r="A90" s="311"/>
      <c r="B90" s="180"/>
      <c r="C90" s="519"/>
      <c r="D90" s="519"/>
      <c r="E90" s="398" t="str">
        <f>E65</f>
        <v>Sala de curativos</v>
      </c>
      <c r="F90" s="399"/>
      <c r="G90" s="247">
        <v>0.9</v>
      </c>
      <c r="H90" s="247">
        <f t="shared" si="1"/>
        <v>0.9</v>
      </c>
      <c r="I90" s="555"/>
      <c r="J90" s="556"/>
      <c r="K90" s="556"/>
      <c r="L90" s="248"/>
    </row>
    <row r="91" spans="1:12" s="179" customFormat="1" ht="13.5" customHeight="1" x14ac:dyDescent="0.2">
      <c r="A91" s="311"/>
      <c r="B91" s="180"/>
      <c r="C91" s="519"/>
      <c r="D91" s="519"/>
      <c r="E91" s="398" t="s">
        <v>288</v>
      </c>
      <c r="F91" s="398"/>
      <c r="G91" s="247">
        <v>1</v>
      </c>
      <c r="H91" s="247">
        <f t="shared" si="1"/>
        <v>1</v>
      </c>
      <c r="I91" s="555"/>
      <c r="J91" s="556"/>
      <c r="K91" s="556"/>
      <c r="L91" s="248"/>
    </row>
    <row r="92" spans="1:12" s="179" customFormat="1" ht="13.5" customHeight="1" x14ac:dyDescent="0.2">
      <c r="A92" s="311"/>
      <c r="B92" s="180"/>
      <c r="C92" s="519"/>
      <c r="D92" s="519"/>
      <c r="E92" s="400" t="s">
        <v>289</v>
      </c>
      <c r="F92" s="401"/>
      <c r="G92" s="247">
        <v>0.9</v>
      </c>
      <c r="H92" s="247">
        <f t="shared" si="1"/>
        <v>0.9</v>
      </c>
      <c r="I92" s="555"/>
      <c r="J92" s="556"/>
      <c r="K92" s="556"/>
      <c r="L92" s="248"/>
    </row>
    <row r="93" spans="1:12" x14ac:dyDescent="0.2">
      <c r="A93" s="311"/>
      <c r="B93" s="587"/>
      <c r="C93" s="530"/>
      <c r="D93" s="519"/>
      <c r="E93" s="390" t="s">
        <v>290</v>
      </c>
      <c r="F93" s="391"/>
      <c r="G93" s="249">
        <v>2.4</v>
      </c>
      <c r="H93" s="249">
        <f t="shared" si="1"/>
        <v>2.4</v>
      </c>
      <c r="I93" s="553"/>
      <c r="J93" s="554" t="s">
        <v>286</v>
      </c>
      <c r="K93" s="554"/>
      <c r="L93" s="392"/>
    </row>
    <row r="94" spans="1:12" x14ac:dyDescent="0.2">
      <c r="A94" s="311"/>
      <c r="B94" s="587"/>
      <c r="C94" s="530"/>
      <c r="D94" s="519"/>
      <c r="E94" s="393" t="s">
        <v>291</v>
      </c>
      <c r="F94" s="393"/>
      <c r="G94" s="247">
        <v>0.8</v>
      </c>
      <c r="H94" s="247">
        <f t="shared" si="1"/>
        <v>0.8</v>
      </c>
      <c r="I94" s="530"/>
      <c r="J94" s="530"/>
      <c r="K94" s="530"/>
      <c r="L94" s="586"/>
    </row>
    <row r="95" spans="1:12" x14ac:dyDescent="0.2">
      <c r="A95" s="311"/>
      <c r="B95" s="587"/>
      <c r="C95" s="530"/>
      <c r="D95" s="519"/>
      <c r="E95" s="393" t="s">
        <v>292</v>
      </c>
      <c r="F95" s="393"/>
      <c r="G95" s="247">
        <v>0.8</v>
      </c>
      <c r="H95" s="247">
        <f t="shared" si="1"/>
        <v>0.8</v>
      </c>
      <c r="I95" s="530"/>
      <c r="J95" s="530"/>
      <c r="K95" s="530"/>
      <c r="L95" s="586"/>
    </row>
    <row r="96" spans="1:12" x14ac:dyDescent="0.2">
      <c r="A96" s="311"/>
      <c r="B96" s="587"/>
      <c r="C96" s="530"/>
      <c r="D96" s="519"/>
      <c r="E96" s="393" t="s">
        <v>293</v>
      </c>
      <c r="F96" s="393"/>
      <c r="G96" s="247">
        <v>0.8</v>
      </c>
      <c r="H96" s="247">
        <f t="shared" si="1"/>
        <v>0.8</v>
      </c>
      <c r="I96" s="530"/>
      <c r="J96" s="530"/>
      <c r="K96" s="530"/>
      <c r="L96" s="586"/>
    </row>
    <row r="97" spans="1:14" x14ac:dyDescent="0.2">
      <c r="A97" s="311"/>
      <c r="B97" s="587"/>
      <c r="C97" s="530"/>
      <c r="D97" s="519"/>
      <c r="E97" s="393" t="s">
        <v>294</v>
      </c>
      <c r="F97" s="393"/>
      <c r="G97" s="247">
        <v>0.8</v>
      </c>
      <c r="H97" s="247">
        <f t="shared" si="1"/>
        <v>0.8</v>
      </c>
      <c r="I97" s="530"/>
      <c r="J97" s="530"/>
      <c r="K97" s="530"/>
      <c r="L97" s="586"/>
    </row>
    <row r="98" spans="1:14" x14ac:dyDescent="0.2">
      <c r="A98" s="311"/>
      <c r="B98" s="587"/>
      <c r="C98" s="530"/>
      <c r="D98" s="519"/>
      <c r="E98" s="393" t="s">
        <v>295</v>
      </c>
      <c r="F98" s="393"/>
      <c r="G98" s="247">
        <v>0.8</v>
      </c>
      <c r="H98" s="247">
        <f t="shared" si="1"/>
        <v>0.8</v>
      </c>
      <c r="I98" s="530"/>
      <c r="J98" s="530"/>
      <c r="K98" s="530"/>
      <c r="L98" s="586"/>
    </row>
    <row r="99" spans="1:14" x14ac:dyDescent="0.2">
      <c r="A99" s="311"/>
      <c r="B99" s="587"/>
      <c r="C99" s="530"/>
      <c r="D99" s="519"/>
      <c r="E99" s="393" t="s">
        <v>296</v>
      </c>
      <c r="F99" s="393"/>
      <c r="G99" s="247">
        <v>0.8</v>
      </c>
      <c r="H99" s="247">
        <f t="shared" si="1"/>
        <v>0.8</v>
      </c>
      <c r="I99" s="530"/>
      <c r="J99" s="530"/>
      <c r="K99" s="530"/>
      <c r="L99" s="586"/>
    </row>
    <row r="100" spans="1:14" s="179" customFormat="1" ht="15" customHeight="1" x14ac:dyDescent="0.2">
      <c r="A100" s="311"/>
      <c r="B100" s="231"/>
      <c r="C100" s="552"/>
      <c r="D100" s="545"/>
      <c r="E100" s="530"/>
      <c r="F100" s="523"/>
      <c r="G100" s="251" t="s">
        <v>38</v>
      </c>
      <c r="H100" s="251">
        <f>SUM(H81:H99)</f>
        <v>19.000000000000007</v>
      </c>
      <c r="I100" s="546"/>
      <c r="J100" s="546"/>
      <c r="K100" s="546"/>
      <c r="L100" s="234"/>
      <c r="N100" s="179">
        <f>5.06/2</f>
        <v>2.5299999999999998</v>
      </c>
    </row>
    <row r="101" spans="1:14" s="179" customFormat="1" ht="15" customHeight="1" x14ac:dyDescent="0.2">
      <c r="A101" s="311"/>
      <c r="B101" s="231"/>
      <c r="C101" s="552"/>
      <c r="D101" s="545"/>
      <c r="E101" s="523"/>
      <c r="F101" s="523"/>
      <c r="G101" s="505"/>
      <c r="H101" s="505"/>
      <c r="I101" s="546"/>
      <c r="J101" s="546"/>
      <c r="K101" s="546"/>
      <c r="L101" s="234"/>
    </row>
    <row r="102" spans="1:14" s="179" customFormat="1" ht="28.5" customHeight="1" x14ac:dyDescent="0.2">
      <c r="A102" s="227"/>
      <c r="B102" s="229" t="str">
        <f>PLANILHA!$A$24</f>
        <v>3.4</v>
      </c>
      <c r="C102" s="170" t="str">
        <f>PLANILHA!$B$24</f>
        <v>17.017.0321-A</v>
      </c>
      <c r="D102" s="380" t="str">
        <f>PLANILHA!$C$24</f>
        <v>REPINTURA INTERNA OU EXTERNA SOBRE FERRO EM BOM ESTADO,NAS CONDICOES DO ITEM 17.017.0320 E NA COR EXISTENTE 3%-DESGASTE DE FERRAMENTAS E EPI</v>
      </c>
      <c r="E102" s="381"/>
      <c r="F102" s="381"/>
      <c r="G102" s="381"/>
      <c r="H102" s="381"/>
      <c r="I102" s="381"/>
      <c r="J102" s="381"/>
      <c r="K102" s="381"/>
      <c r="L102" s="388"/>
    </row>
    <row r="103" spans="1:14" s="179" customFormat="1" ht="15" customHeight="1" x14ac:dyDescent="0.2">
      <c r="A103" s="227"/>
      <c r="B103" s="231"/>
      <c r="C103" s="552"/>
      <c r="D103" s="545"/>
      <c r="E103" s="232"/>
      <c r="F103" s="232"/>
      <c r="G103" s="233"/>
      <c r="H103" s="233"/>
      <c r="I103" s="546"/>
      <c r="J103" s="546"/>
      <c r="K103" s="546"/>
      <c r="L103" s="234"/>
    </row>
    <row r="104" spans="1:14" s="179" customFormat="1" ht="15" customHeight="1" x14ac:dyDescent="0.2">
      <c r="A104" s="227"/>
      <c r="B104" s="180"/>
      <c r="C104" s="519"/>
      <c r="D104" s="519"/>
      <c r="E104" s="252" t="s">
        <v>258</v>
      </c>
      <c r="F104" s="209" t="s">
        <v>259</v>
      </c>
      <c r="G104" s="209" t="s">
        <v>252</v>
      </c>
      <c r="H104" s="189" t="s">
        <v>25</v>
      </c>
      <c r="I104" s="368" t="s">
        <v>255</v>
      </c>
      <c r="J104" s="527"/>
      <c r="K104" s="527"/>
      <c r="L104" s="369"/>
    </row>
    <row r="105" spans="1:14" s="179" customFormat="1" ht="15" customHeight="1" x14ac:dyDescent="0.2">
      <c r="A105" s="227"/>
      <c r="B105" s="180"/>
      <c r="C105" s="519"/>
      <c r="D105" s="519"/>
      <c r="E105" s="235" t="s">
        <v>297</v>
      </c>
      <c r="F105" s="241">
        <v>1.4</v>
      </c>
      <c r="G105" s="241">
        <v>7.78</v>
      </c>
      <c r="H105" s="241">
        <f>F105*G105</f>
        <v>10.891999999999999</v>
      </c>
      <c r="I105" s="389" t="s">
        <v>298</v>
      </c>
      <c r="J105" s="548"/>
      <c r="K105" s="548"/>
      <c r="L105" s="378"/>
    </row>
    <row r="106" spans="1:14" s="179" customFormat="1" ht="15" customHeight="1" x14ac:dyDescent="0.2">
      <c r="A106" s="227"/>
      <c r="B106" s="180"/>
      <c r="C106" s="519"/>
      <c r="D106" s="519"/>
      <c r="E106" s="238" t="s">
        <v>299</v>
      </c>
      <c r="F106" s="241">
        <v>1.31</v>
      </c>
      <c r="G106" s="241">
        <v>31</v>
      </c>
      <c r="H106" s="241">
        <f>F106*G106</f>
        <v>40.61</v>
      </c>
      <c r="I106" s="385"/>
      <c r="J106" s="524"/>
      <c r="K106" s="524"/>
      <c r="L106" s="370"/>
    </row>
    <row r="107" spans="1:14" s="179" customFormat="1" ht="30" customHeight="1" x14ac:dyDescent="0.2">
      <c r="A107" s="227"/>
      <c r="B107" s="180"/>
      <c r="C107" s="519"/>
      <c r="D107" s="519"/>
      <c r="E107" s="253" t="s">
        <v>300</v>
      </c>
      <c r="F107" s="241">
        <v>2</v>
      </c>
      <c r="G107" s="241">
        <v>1.35</v>
      </c>
      <c r="H107" s="241">
        <f>F107*G107</f>
        <v>2.7</v>
      </c>
      <c r="I107" s="521"/>
      <c r="J107" s="521"/>
      <c r="K107" s="521"/>
      <c r="L107" s="194"/>
    </row>
    <row r="108" spans="1:14" s="179" customFormat="1" ht="27" customHeight="1" x14ac:dyDescent="0.2">
      <c r="A108" s="227"/>
      <c r="B108" s="180"/>
      <c r="C108" s="519"/>
      <c r="D108" s="519"/>
      <c r="E108" s="253" t="s">
        <v>301</v>
      </c>
      <c r="F108" s="241">
        <v>2</v>
      </c>
      <c r="G108" s="241">
        <v>5.7</v>
      </c>
      <c r="H108" s="241">
        <f>F108*G108</f>
        <v>11.4</v>
      </c>
      <c r="I108" s="521"/>
      <c r="J108" s="521"/>
      <c r="K108" s="521"/>
      <c r="L108" s="194"/>
    </row>
    <row r="109" spans="1:14" s="179" customFormat="1" ht="15" customHeight="1" x14ac:dyDescent="0.2">
      <c r="A109" s="227"/>
      <c r="B109" s="231"/>
      <c r="C109" s="552"/>
      <c r="D109" s="545"/>
      <c r="E109" s="523"/>
      <c r="F109" s="523"/>
      <c r="G109" s="192" t="s">
        <v>38</v>
      </c>
      <c r="H109" s="192">
        <f>SUM(H105,H106,H107,H108)</f>
        <v>65.602000000000004</v>
      </c>
      <c r="I109" s="546"/>
      <c r="J109" s="546"/>
      <c r="K109" s="546"/>
      <c r="L109" s="234"/>
    </row>
    <row r="110" spans="1:14" s="179" customFormat="1" ht="15" customHeight="1" x14ac:dyDescent="0.2">
      <c r="A110" s="227"/>
      <c r="B110" s="231"/>
      <c r="C110" s="552"/>
      <c r="D110" s="545"/>
      <c r="E110" s="523"/>
      <c r="F110" s="523"/>
      <c r="G110" s="505"/>
      <c r="H110" s="254"/>
      <c r="I110" s="546"/>
      <c r="J110" s="546"/>
      <c r="K110" s="546"/>
      <c r="L110" s="234"/>
    </row>
    <row r="111" spans="1:14" s="179" customFormat="1" ht="30" customHeight="1" x14ac:dyDescent="0.2">
      <c r="A111" s="227"/>
      <c r="B111" s="229" t="str">
        <f>PLANILHA!$A$25</f>
        <v>3.5</v>
      </c>
      <c r="C111" s="170" t="str">
        <f>PLANILHA!$B$25</f>
        <v>17.017.0130-A</v>
      </c>
      <c r="D111" s="380" t="str">
        <f>PLANILHA!$C$25</f>
        <v>REPINTURA INTERNA OU EXTERNA SOBRE MADEIRA COM TINTA A OLEO BRILHANTE OU ACETINADA,SOBRE FUNDO SINTETICO NIVELADOR,INCLUSIVE ESTE,COM LIXAMENTO E DUAS DEMAOS DE ACABAMENTO,NA COR EXISTENTE 3%-DESGASTE DE FERRAMENTAS E EPI</v>
      </c>
      <c r="E111" s="381"/>
      <c r="F111" s="381"/>
      <c r="G111" s="381"/>
      <c r="H111" s="381"/>
      <c r="I111" s="381"/>
      <c r="J111" s="381"/>
      <c r="K111" s="381"/>
      <c r="L111" s="388"/>
    </row>
    <row r="112" spans="1:14" s="179" customFormat="1" ht="15" customHeight="1" x14ac:dyDescent="0.2">
      <c r="A112" s="227"/>
      <c r="B112" s="231"/>
      <c r="C112" s="552"/>
      <c r="D112" s="545"/>
      <c r="E112" s="232"/>
      <c r="F112" s="232"/>
      <c r="G112" s="233"/>
      <c r="H112" s="232"/>
      <c r="I112" s="546"/>
      <c r="J112" s="546"/>
      <c r="K112" s="546"/>
      <c r="L112" s="234"/>
    </row>
    <row r="113" spans="1:12" s="179" customFormat="1" ht="15" customHeight="1" x14ac:dyDescent="0.2">
      <c r="A113" s="227"/>
      <c r="B113" s="180"/>
      <c r="C113" s="375" t="s">
        <v>272</v>
      </c>
      <c r="D113" s="375"/>
      <c r="E113" s="209" t="s">
        <v>259</v>
      </c>
      <c r="F113" s="209" t="s">
        <v>252</v>
      </c>
      <c r="G113" s="189" t="s">
        <v>25</v>
      </c>
      <c r="H113" s="530"/>
      <c r="I113" s="527" t="s">
        <v>255</v>
      </c>
      <c r="J113" s="527"/>
      <c r="K113" s="527"/>
      <c r="L113" s="369"/>
    </row>
    <row r="114" spans="1:12" s="179" customFormat="1" ht="15" customHeight="1" x14ac:dyDescent="0.2">
      <c r="A114" s="227"/>
      <c r="B114" s="180"/>
      <c r="C114" s="384" t="s">
        <v>279</v>
      </c>
      <c r="D114" s="384"/>
      <c r="E114" s="241">
        <f>2.15-0.3</f>
        <v>1.8499999999999999</v>
      </c>
      <c r="F114" s="241">
        <v>0.9</v>
      </c>
      <c r="G114" s="241">
        <v>4.3899999999999997</v>
      </c>
      <c r="H114" s="530"/>
      <c r="I114" s="548" t="s">
        <v>302</v>
      </c>
      <c r="J114" s="548"/>
      <c r="K114" s="548"/>
      <c r="L114" s="378"/>
    </row>
    <row r="115" spans="1:12" s="179" customFormat="1" ht="15" customHeight="1" x14ac:dyDescent="0.2">
      <c r="A115" s="227"/>
      <c r="B115" s="180"/>
      <c r="C115" s="384" t="s">
        <v>280</v>
      </c>
      <c r="D115" s="384"/>
      <c r="E115" s="241">
        <f>2.15-0.3</f>
        <v>1.8499999999999999</v>
      </c>
      <c r="F115" s="241">
        <v>0.9</v>
      </c>
      <c r="G115" s="241">
        <v>4.3899999999999997</v>
      </c>
      <c r="H115" s="530"/>
      <c r="I115" s="548"/>
      <c r="J115" s="548"/>
      <c r="K115" s="548"/>
      <c r="L115" s="378"/>
    </row>
    <row r="116" spans="1:12" s="179" customFormat="1" ht="15" customHeight="1" x14ac:dyDescent="0.2">
      <c r="A116" s="227"/>
      <c r="B116" s="180"/>
      <c r="C116" s="375" t="s">
        <v>281</v>
      </c>
      <c r="D116" s="375"/>
      <c r="E116" s="241">
        <f t="shared" ref="E116:E132" si="2">2.15-0.3</f>
        <v>1.8499999999999999</v>
      </c>
      <c r="F116" s="241">
        <v>0.9</v>
      </c>
      <c r="G116" s="241">
        <v>4.3899999999999997</v>
      </c>
      <c r="H116" s="530"/>
      <c r="I116" s="549"/>
      <c r="J116" s="549"/>
      <c r="K116" s="549"/>
      <c r="L116" s="237"/>
    </row>
    <row r="117" spans="1:12" s="179" customFormat="1" ht="15" customHeight="1" x14ac:dyDescent="0.2">
      <c r="A117" s="227"/>
      <c r="B117" s="180"/>
      <c r="C117" s="375" t="s">
        <v>282</v>
      </c>
      <c r="D117" s="375"/>
      <c r="E117" s="241">
        <f t="shared" si="2"/>
        <v>1.8499999999999999</v>
      </c>
      <c r="F117" s="241">
        <v>0.9</v>
      </c>
      <c r="G117" s="241">
        <v>4.3899999999999997</v>
      </c>
      <c r="H117" s="530"/>
      <c r="I117" s="557" t="s">
        <v>303</v>
      </c>
      <c r="J117" s="557"/>
      <c r="K117" s="557"/>
      <c r="L117" s="402"/>
    </row>
    <row r="118" spans="1:12" s="179" customFormat="1" ht="15" customHeight="1" x14ac:dyDescent="0.2">
      <c r="A118" s="227"/>
      <c r="B118" s="180"/>
      <c r="C118" s="386" t="s">
        <v>283</v>
      </c>
      <c r="D118" s="387"/>
      <c r="E118" s="241">
        <f t="shared" si="2"/>
        <v>1.8499999999999999</v>
      </c>
      <c r="F118" s="241">
        <v>0.9</v>
      </c>
      <c r="G118" s="241">
        <v>4.3899999999999997</v>
      </c>
      <c r="H118" s="530"/>
      <c r="I118" s="530"/>
      <c r="J118" s="530"/>
      <c r="K118" s="530"/>
      <c r="L118" s="586"/>
    </row>
    <row r="119" spans="1:12" s="179" customFormat="1" ht="15" customHeight="1" x14ac:dyDescent="0.2">
      <c r="A119" s="227"/>
      <c r="B119" s="180"/>
      <c r="C119" s="244" t="s">
        <v>284</v>
      </c>
      <c r="D119" s="245"/>
      <c r="E119" s="241">
        <f t="shared" si="2"/>
        <v>1.8499999999999999</v>
      </c>
      <c r="F119" s="241">
        <v>0.9</v>
      </c>
      <c r="G119" s="241">
        <v>4.3899999999999997</v>
      </c>
      <c r="H119" s="530"/>
      <c r="I119" s="530"/>
      <c r="J119" s="530"/>
      <c r="K119" s="530"/>
      <c r="L119" s="586"/>
    </row>
    <row r="120" spans="1:12" s="179" customFormat="1" ht="15" customHeight="1" x14ac:dyDescent="0.2">
      <c r="A120" s="227"/>
      <c r="B120" s="180"/>
      <c r="C120" s="375" t="str">
        <f>E98</f>
        <v>Copa</v>
      </c>
      <c r="D120" s="375"/>
      <c r="E120" s="241">
        <f t="shared" si="2"/>
        <v>1.8499999999999999</v>
      </c>
      <c r="F120" s="241">
        <v>0.9</v>
      </c>
      <c r="G120" s="241">
        <v>4.3899999999999997</v>
      </c>
      <c r="H120" s="530"/>
      <c r="I120" s="549"/>
      <c r="J120" s="549"/>
      <c r="K120" s="549"/>
      <c r="L120" s="237"/>
    </row>
    <row r="121" spans="1:12" s="179" customFormat="1" ht="15" customHeight="1" x14ac:dyDescent="0.2">
      <c r="A121" s="227"/>
      <c r="B121" s="180"/>
      <c r="C121" s="394" t="s">
        <v>285</v>
      </c>
      <c r="D121" s="395"/>
      <c r="E121" s="246">
        <f>2*2.15-0.3</f>
        <v>4</v>
      </c>
      <c r="F121" s="246">
        <f>2*0.9</f>
        <v>1.8</v>
      </c>
      <c r="G121" s="246">
        <f>4.39*2</f>
        <v>8.7799999999999994</v>
      </c>
      <c r="H121" s="558"/>
      <c r="I121" s="559" t="s">
        <v>304</v>
      </c>
      <c r="J121" s="559"/>
      <c r="K121" s="559"/>
      <c r="L121" s="588"/>
    </row>
    <row r="122" spans="1:12" s="179" customFormat="1" ht="15" customHeight="1" x14ac:dyDescent="0.2">
      <c r="A122" s="227"/>
      <c r="B122" s="180"/>
      <c r="C122" s="396" t="s">
        <v>287</v>
      </c>
      <c r="D122" s="397"/>
      <c r="E122" s="241">
        <f t="shared" si="2"/>
        <v>1.8499999999999999</v>
      </c>
      <c r="F122" s="247">
        <v>0.9</v>
      </c>
      <c r="G122" s="241">
        <f>G114</f>
        <v>4.3899999999999997</v>
      </c>
      <c r="H122" s="530"/>
      <c r="I122" s="560"/>
      <c r="J122" s="560"/>
      <c r="K122" s="560"/>
      <c r="L122" s="289"/>
    </row>
    <row r="123" spans="1:12" s="179" customFormat="1" ht="15" customHeight="1" x14ac:dyDescent="0.2">
      <c r="A123" s="227"/>
      <c r="B123" s="180"/>
      <c r="C123" s="398" t="str">
        <f>E99</f>
        <v>Sala de administração e gerência</v>
      </c>
      <c r="D123" s="399"/>
      <c r="E123" s="241">
        <f t="shared" si="2"/>
        <v>1.8499999999999999</v>
      </c>
      <c r="F123" s="247">
        <v>0.9</v>
      </c>
      <c r="G123" s="241">
        <f>G115</f>
        <v>4.3899999999999997</v>
      </c>
      <c r="H123" s="530"/>
      <c r="I123" s="560"/>
      <c r="J123" s="560"/>
      <c r="K123" s="560"/>
      <c r="L123" s="289"/>
    </row>
    <row r="124" spans="1:12" s="179" customFormat="1" ht="15" customHeight="1" x14ac:dyDescent="0.2">
      <c r="A124" s="227"/>
      <c r="B124" s="180"/>
      <c r="C124" s="398" t="s">
        <v>288</v>
      </c>
      <c r="D124" s="398"/>
      <c r="E124" s="241">
        <f t="shared" si="2"/>
        <v>1.8499999999999999</v>
      </c>
      <c r="F124" s="247">
        <v>1</v>
      </c>
      <c r="G124" s="241">
        <v>4.79</v>
      </c>
      <c r="H124" s="530"/>
      <c r="I124" s="560"/>
      <c r="J124" s="560"/>
      <c r="K124" s="560"/>
      <c r="L124" s="289"/>
    </row>
    <row r="125" spans="1:12" s="179" customFormat="1" ht="15" customHeight="1" x14ac:dyDescent="0.2">
      <c r="A125" s="227"/>
      <c r="B125" s="180"/>
      <c r="C125" s="400" t="s">
        <v>289</v>
      </c>
      <c r="D125" s="401"/>
      <c r="E125" s="241">
        <f t="shared" si="2"/>
        <v>1.8499999999999999</v>
      </c>
      <c r="F125" s="247">
        <v>0.9</v>
      </c>
      <c r="G125" s="241">
        <f>G117</f>
        <v>4.3899999999999997</v>
      </c>
      <c r="H125" s="530"/>
      <c r="I125" s="560"/>
      <c r="J125" s="560"/>
      <c r="K125" s="560"/>
      <c r="L125" s="289"/>
    </row>
    <row r="126" spans="1:12" s="179" customFormat="1" ht="15" customHeight="1" x14ac:dyDescent="0.2">
      <c r="A126" s="227"/>
      <c r="B126" s="180"/>
      <c r="C126" s="390" t="s">
        <v>290</v>
      </c>
      <c r="D126" s="391"/>
      <c r="E126" s="246">
        <f t="shared" si="2"/>
        <v>1.8499999999999999</v>
      </c>
      <c r="F126" s="249">
        <v>2.4</v>
      </c>
      <c r="G126" s="246">
        <f>10.32</f>
        <v>10.32</v>
      </c>
      <c r="H126" s="558"/>
      <c r="I126" s="559" t="s">
        <v>304</v>
      </c>
      <c r="J126" s="559"/>
      <c r="K126" s="559"/>
      <c r="L126" s="588"/>
    </row>
    <row r="127" spans="1:12" s="179" customFormat="1" ht="15" customHeight="1" x14ac:dyDescent="0.2">
      <c r="A127" s="227"/>
      <c r="B127" s="180"/>
      <c r="C127" s="393" t="s">
        <v>291</v>
      </c>
      <c r="D127" s="393"/>
      <c r="E127" s="241">
        <f t="shared" si="2"/>
        <v>1.8499999999999999</v>
      </c>
      <c r="F127" s="247">
        <v>0.8</v>
      </c>
      <c r="G127" s="241">
        <f>4</f>
        <v>4</v>
      </c>
      <c r="H127" s="530"/>
      <c r="I127" s="560"/>
      <c r="J127" s="560"/>
      <c r="K127" s="560"/>
      <c r="L127" s="289"/>
    </row>
    <row r="128" spans="1:12" s="179" customFormat="1" ht="15" customHeight="1" x14ac:dyDescent="0.2">
      <c r="A128" s="227"/>
      <c r="B128" s="180"/>
      <c r="C128" s="393" t="s">
        <v>292</v>
      </c>
      <c r="D128" s="393"/>
      <c r="E128" s="241">
        <f t="shared" si="2"/>
        <v>1.8499999999999999</v>
      </c>
      <c r="F128" s="247">
        <v>0.8</v>
      </c>
      <c r="G128" s="241">
        <f>4</f>
        <v>4</v>
      </c>
      <c r="H128" s="530"/>
      <c r="I128" s="560"/>
      <c r="J128" s="560"/>
      <c r="K128" s="560"/>
      <c r="L128" s="289"/>
    </row>
    <row r="129" spans="1:12" s="179" customFormat="1" ht="15" customHeight="1" x14ac:dyDescent="0.2">
      <c r="A129" s="227"/>
      <c r="B129" s="180"/>
      <c r="C129" s="393" t="s">
        <v>293</v>
      </c>
      <c r="D129" s="393"/>
      <c r="E129" s="241">
        <f t="shared" si="2"/>
        <v>1.8499999999999999</v>
      </c>
      <c r="F129" s="247">
        <v>0.8</v>
      </c>
      <c r="G129" s="241">
        <f>4</f>
        <v>4</v>
      </c>
      <c r="H129" s="530"/>
      <c r="I129" s="560"/>
      <c r="J129" s="560"/>
      <c r="K129" s="560"/>
      <c r="L129" s="289"/>
    </row>
    <row r="130" spans="1:12" s="179" customFormat="1" ht="15" customHeight="1" x14ac:dyDescent="0.2">
      <c r="A130" s="227"/>
      <c r="B130" s="180"/>
      <c r="C130" s="393" t="s">
        <v>294</v>
      </c>
      <c r="D130" s="393"/>
      <c r="E130" s="241">
        <f t="shared" si="2"/>
        <v>1.8499999999999999</v>
      </c>
      <c r="F130" s="247">
        <v>0.8</v>
      </c>
      <c r="G130" s="241">
        <f>4</f>
        <v>4</v>
      </c>
      <c r="H130" s="530"/>
      <c r="I130" s="560"/>
      <c r="J130" s="560"/>
      <c r="K130" s="560"/>
      <c r="L130" s="289"/>
    </row>
    <row r="131" spans="1:12" s="179" customFormat="1" ht="15" customHeight="1" x14ac:dyDescent="0.2">
      <c r="A131" s="227"/>
      <c r="B131" s="180"/>
      <c r="C131" s="393" t="s">
        <v>295</v>
      </c>
      <c r="D131" s="393"/>
      <c r="E131" s="241">
        <f t="shared" si="2"/>
        <v>1.8499999999999999</v>
      </c>
      <c r="F131" s="247">
        <v>0.8</v>
      </c>
      <c r="G131" s="241">
        <f>4</f>
        <v>4</v>
      </c>
      <c r="H131" s="561"/>
      <c r="I131" s="560"/>
      <c r="J131" s="560"/>
      <c r="K131" s="560"/>
      <c r="L131" s="289"/>
    </row>
    <row r="132" spans="1:12" s="179" customFormat="1" ht="15" customHeight="1" x14ac:dyDescent="0.2">
      <c r="A132" s="227"/>
      <c r="B132" s="180"/>
      <c r="C132" s="393" t="s">
        <v>296</v>
      </c>
      <c r="D132" s="393"/>
      <c r="E132" s="241">
        <f t="shared" si="2"/>
        <v>1.8499999999999999</v>
      </c>
      <c r="F132" s="247">
        <v>0.8</v>
      </c>
      <c r="G132" s="241">
        <f>4</f>
        <v>4</v>
      </c>
      <c r="H132" s="530"/>
      <c r="I132" s="560"/>
      <c r="J132" s="560"/>
      <c r="K132" s="560"/>
      <c r="L132" s="289"/>
    </row>
    <row r="133" spans="1:12" s="179" customFormat="1" ht="15" customHeight="1" x14ac:dyDescent="0.2">
      <c r="A133" s="227"/>
      <c r="B133" s="231"/>
      <c r="C133" s="552"/>
      <c r="D133" s="545"/>
      <c r="E133" s="523"/>
      <c r="F133" s="251" t="s">
        <v>38</v>
      </c>
      <c r="G133" s="192">
        <f>SUM(G114:G132)</f>
        <v>91.789999999999992</v>
      </c>
      <c r="H133" s="530"/>
      <c r="I133" s="530"/>
      <c r="J133" s="530"/>
      <c r="K133" s="530"/>
      <c r="L133" s="586"/>
    </row>
    <row r="134" spans="1:12" s="179" customFormat="1" ht="15" customHeight="1" x14ac:dyDescent="0.2">
      <c r="A134" s="227"/>
      <c r="B134" s="231"/>
      <c r="C134" s="552"/>
      <c r="D134" s="545"/>
      <c r="E134" s="523"/>
      <c r="F134" s="523"/>
      <c r="G134" s="242"/>
      <c r="H134" s="242"/>
      <c r="I134" s="530"/>
      <c r="J134" s="530"/>
      <c r="K134" s="530"/>
      <c r="L134" s="586"/>
    </row>
    <row r="135" spans="1:12" s="179" customFormat="1" ht="33.75" customHeight="1" x14ac:dyDescent="0.2">
      <c r="A135" s="227"/>
      <c r="B135" s="229" t="s">
        <v>165</v>
      </c>
      <c r="C135" s="170" t="str">
        <f>PLANILHA!$B$26</f>
        <v>11106</v>
      </c>
      <c r="D135" s="372" t="str">
        <f>PLANILHA!$C$26</f>
        <v>CHAPA DE ACRILICO, TRANSLUCIDO, ESPESSURA 6MM</v>
      </c>
      <c r="E135" s="373"/>
      <c r="F135" s="373"/>
      <c r="G135" s="373"/>
      <c r="H135" s="373"/>
      <c r="I135" s="373"/>
      <c r="J135" s="373"/>
      <c r="K135" s="373"/>
      <c r="L135" s="374"/>
    </row>
    <row r="136" spans="1:12" s="179" customFormat="1" ht="33.75" customHeight="1" x14ac:dyDescent="0.2">
      <c r="A136" s="227"/>
      <c r="B136" s="231"/>
      <c r="C136" s="532"/>
      <c r="D136" s="545"/>
      <c r="E136" s="562"/>
      <c r="F136" s="562"/>
      <c r="G136" s="255"/>
      <c r="H136" s="255"/>
      <c r="I136" s="562"/>
      <c r="J136" s="562"/>
      <c r="K136" s="562"/>
      <c r="L136" s="256"/>
    </row>
    <row r="137" spans="1:12" s="179" customFormat="1" ht="20.25" customHeight="1" x14ac:dyDescent="0.2">
      <c r="A137" s="227"/>
      <c r="B137" s="231"/>
      <c r="C137" s="532"/>
      <c r="D137" s="545"/>
      <c r="E137" s="252" t="s">
        <v>305</v>
      </c>
      <c r="F137" s="209" t="s">
        <v>259</v>
      </c>
      <c r="G137" s="209" t="s">
        <v>252</v>
      </c>
      <c r="H137" s="189" t="s">
        <v>25</v>
      </c>
      <c r="I137" s="368" t="s">
        <v>255</v>
      </c>
      <c r="J137" s="527"/>
      <c r="K137" s="527"/>
      <c r="L137" s="369"/>
    </row>
    <row r="138" spans="1:12" s="179" customFormat="1" ht="30" customHeight="1" x14ac:dyDescent="0.2">
      <c r="A138" s="227"/>
      <c r="B138" s="231"/>
      <c r="C138" s="532"/>
      <c r="D138" s="545"/>
      <c r="E138" s="235" t="s">
        <v>306</v>
      </c>
      <c r="F138" s="241">
        <v>1.9</v>
      </c>
      <c r="G138" s="241">
        <v>1.1000000000000001</v>
      </c>
      <c r="H138" s="241">
        <f>F138*G138</f>
        <v>2.09</v>
      </c>
      <c r="I138" s="389" t="s">
        <v>307</v>
      </c>
      <c r="J138" s="548"/>
      <c r="K138" s="548"/>
      <c r="L138" s="378"/>
    </row>
    <row r="139" spans="1:12" s="179" customFormat="1" ht="15.75" customHeight="1" x14ac:dyDescent="0.2">
      <c r="A139" s="227"/>
      <c r="B139" s="231"/>
      <c r="C139" s="532"/>
      <c r="D139" s="545"/>
      <c r="E139" s="238" t="s">
        <v>308</v>
      </c>
      <c r="F139" s="241">
        <v>1.9</v>
      </c>
      <c r="G139" s="241">
        <v>0.45</v>
      </c>
      <c r="H139" s="241">
        <f t="shared" ref="H139:H140" si="3">F139*G139</f>
        <v>0.85499999999999998</v>
      </c>
      <c r="I139" s="385"/>
      <c r="J139" s="524"/>
      <c r="K139" s="524"/>
      <c r="L139" s="370"/>
    </row>
    <row r="140" spans="1:12" s="179" customFormat="1" ht="15" customHeight="1" x14ac:dyDescent="0.2">
      <c r="A140" s="227"/>
      <c r="B140" s="231"/>
      <c r="C140" s="532"/>
      <c r="D140" s="545"/>
      <c r="E140" s="235" t="s">
        <v>309</v>
      </c>
      <c r="F140" s="241">
        <v>1.9</v>
      </c>
      <c r="G140" s="241">
        <v>0.4</v>
      </c>
      <c r="H140" s="241">
        <f t="shared" si="3"/>
        <v>0.76</v>
      </c>
      <c r="I140" s="521"/>
      <c r="J140" s="521"/>
      <c r="K140" s="521"/>
      <c r="L140" s="194"/>
    </row>
    <row r="141" spans="1:12" s="179" customFormat="1" ht="16.5" customHeight="1" x14ac:dyDescent="0.2">
      <c r="A141" s="227"/>
      <c r="B141" s="231"/>
      <c r="C141" s="532"/>
      <c r="D141" s="545"/>
      <c r="E141" s="523"/>
      <c r="F141" s="523"/>
      <c r="G141" s="192" t="s">
        <v>38</v>
      </c>
      <c r="H141" s="192">
        <f>SUM(H138,H139,H140)</f>
        <v>3.7050000000000001</v>
      </c>
      <c r="I141" s="546"/>
      <c r="J141" s="546"/>
      <c r="K141" s="546"/>
      <c r="L141" s="234"/>
    </row>
    <row r="142" spans="1:12" s="179" customFormat="1" ht="15" customHeight="1" x14ac:dyDescent="0.2">
      <c r="A142" s="227"/>
      <c r="B142" s="231"/>
      <c r="C142" s="552"/>
      <c r="D142" s="545"/>
      <c r="E142" s="523"/>
      <c r="F142" s="523"/>
      <c r="G142" s="242"/>
      <c r="H142" s="242"/>
      <c r="I142" s="546"/>
      <c r="J142" s="546"/>
      <c r="K142" s="546"/>
      <c r="L142" s="234"/>
    </row>
    <row r="143" spans="1:12" s="179" customFormat="1" ht="13.15" customHeight="1" x14ac:dyDescent="0.2">
      <c r="A143" s="227"/>
      <c r="B143" s="184" t="s">
        <v>13</v>
      </c>
      <c r="C143" s="185"/>
      <c r="D143" s="349" t="str">
        <f>PLANILHA!C29</f>
        <v>PAREDES, MUROS, MURETAS  E TETO</v>
      </c>
      <c r="E143" s="349"/>
      <c r="F143" s="349"/>
      <c r="G143" s="349"/>
      <c r="H143" s="349"/>
      <c r="I143" s="349"/>
      <c r="J143" s="349"/>
      <c r="K143" s="349"/>
      <c r="L143" s="350"/>
    </row>
    <row r="144" spans="1:12" s="179" customFormat="1" ht="45.75" customHeight="1" x14ac:dyDescent="0.2">
      <c r="A144" s="227"/>
      <c r="B144" s="229" t="s">
        <v>7</v>
      </c>
      <c r="C144" s="170" t="str">
        <f>PLANILHA!B30</f>
        <v>17.018.0044-A</v>
      </c>
      <c r="D144" s="372" t="str">
        <f>PLANILHA!$C$30</f>
        <v>REPINTURA COM TINTA LATEX,CLASSIFICACAO ECONOMICA,CONFORME A BNT NBR 15079,PARA INTERIOR,SOBRE SUPERFICIE EM BOM ESTADO E NA COR EXISTENTE,INCLUSIVE LIMPEZA,LEVE LIXAMENTO COM LIXA FINA,UMA DEMAO DE FUNDO PREPARADOR E UMA DE ACABAMENTO 3%-DESGASTE DE FERRAMENTAS E EPI</v>
      </c>
      <c r="E144" s="373"/>
      <c r="F144" s="373"/>
      <c r="G144" s="373"/>
      <c r="H144" s="373"/>
      <c r="I144" s="373"/>
      <c r="J144" s="373"/>
      <c r="K144" s="373"/>
      <c r="L144" s="374"/>
    </row>
    <row r="145" spans="1:14" s="179" customFormat="1" x14ac:dyDescent="0.2">
      <c r="A145" s="227"/>
      <c r="B145" s="231"/>
      <c r="C145" s="532"/>
      <c r="D145" s="545"/>
      <c r="E145" s="233"/>
      <c r="F145" s="233"/>
      <c r="G145" s="233"/>
      <c r="H145" s="233"/>
      <c r="I145" s="546"/>
      <c r="J145" s="546"/>
      <c r="K145" s="546"/>
      <c r="L145" s="234"/>
    </row>
    <row r="146" spans="1:14" s="179" customFormat="1" ht="28.5" customHeight="1" x14ac:dyDescent="0.25">
      <c r="A146" s="227"/>
      <c r="B146" s="180"/>
      <c r="C146" s="257" t="s">
        <v>272</v>
      </c>
      <c r="D146" s="258" t="s">
        <v>310</v>
      </c>
      <c r="E146" s="259" t="s">
        <v>258</v>
      </c>
      <c r="F146" s="260" t="s">
        <v>259</v>
      </c>
      <c r="G146" s="260" t="s">
        <v>311</v>
      </c>
      <c r="H146" s="261" t="s">
        <v>25</v>
      </c>
      <c r="I146" s="530"/>
      <c r="J146" s="527" t="s">
        <v>255</v>
      </c>
      <c r="K146" s="527"/>
      <c r="L146" s="369"/>
    </row>
    <row r="147" spans="1:14" s="179" customFormat="1" ht="18" customHeight="1" x14ac:dyDescent="0.2">
      <c r="A147" s="227"/>
      <c r="B147" s="180"/>
      <c r="C147" s="253" t="s">
        <v>312</v>
      </c>
      <c r="D147" s="262">
        <f>0.72+1.6</f>
        <v>2.3200000000000003</v>
      </c>
      <c r="E147" s="263" t="s">
        <v>313</v>
      </c>
      <c r="F147" s="241">
        <v>1.5</v>
      </c>
      <c r="G147" s="241">
        <v>13.26</v>
      </c>
      <c r="H147" s="241">
        <f t="shared" ref="H147:H157" si="4">F147*G147-D147</f>
        <v>17.57</v>
      </c>
      <c r="I147" s="530"/>
      <c r="J147" s="522" t="s">
        <v>314</v>
      </c>
      <c r="K147" s="522"/>
      <c r="L147" s="357"/>
      <c r="M147" s="179" t="s">
        <v>315</v>
      </c>
      <c r="N147" s="179">
        <v>90</v>
      </c>
    </row>
    <row r="148" spans="1:14" s="179" customFormat="1" x14ac:dyDescent="0.2">
      <c r="A148" s="227"/>
      <c r="B148" s="180"/>
      <c r="C148" s="253" t="s">
        <v>316</v>
      </c>
      <c r="D148" s="262">
        <f>0.72+1.6</f>
        <v>2.3200000000000003</v>
      </c>
      <c r="E148" s="263" t="s">
        <v>313</v>
      </c>
      <c r="F148" s="241">
        <v>1.5</v>
      </c>
      <c r="G148" s="241">
        <v>15.04</v>
      </c>
      <c r="H148" s="241">
        <f t="shared" si="4"/>
        <v>20.239999999999998</v>
      </c>
      <c r="I148" s="530"/>
      <c r="J148" s="522"/>
      <c r="K148" s="522"/>
      <c r="L148" s="357"/>
      <c r="M148" s="179">
        <v>0.96</v>
      </c>
      <c r="N148" s="179">
        <v>1.2</v>
      </c>
    </row>
    <row r="149" spans="1:14" s="179" customFormat="1" x14ac:dyDescent="0.2">
      <c r="A149" s="227"/>
      <c r="B149" s="180"/>
      <c r="C149" s="253" t="s">
        <v>317</v>
      </c>
      <c r="D149" s="262">
        <f>0.72+14.52+0.96</f>
        <v>16.2</v>
      </c>
      <c r="E149" s="263" t="s">
        <v>313</v>
      </c>
      <c r="F149" s="241">
        <v>2</v>
      </c>
      <c r="G149" s="241">
        <v>19.38</v>
      </c>
      <c r="H149" s="241">
        <f t="shared" si="4"/>
        <v>22.56</v>
      </c>
      <c r="I149" s="530"/>
      <c r="J149" s="523"/>
      <c r="K149" s="523"/>
      <c r="L149" s="191"/>
      <c r="M149" s="179">
        <v>0.8</v>
      </c>
      <c r="N149" s="179">
        <v>1</v>
      </c>
    </row>
    <row r="150" spans="1:14" s="179" customFormat="1" x14ac:dyDescent="0.2">
      <c r="A150" s="227"/>
      <c r="B150" s="180"/>
      <c r="C150" s="253" t="s">
        <v>283</v>
      </c>
      <c r="D150" s="262">
        <f>0.72</f>
        <v>0.72</v>
      </c>
      <c r="E150" s="263" t="s">
        <v>313</v>
      </c>
      <c r="F150" s="241">
        <v>1.5</v>
      </c>
      <c r="G150" s="241">
        <v>12.32</v>
      </c>
      <c r="H150" s="241">
        <f t="shared" si="4"/>
        <v>17.760000000000002</v>
      </c>
      <c r="I150" s="530"/>
      <c r="J150" s="522" t="s">
        <v>318</v>
      </c>
      <c r="K150" s="522"/>
      <c r="L150" s="357"/>
    </row>
    <row r="151" spans="1:14" s="179" customFormat="1" x14ac:dyDescent="0.2">
      <c r="A151" s="227"/>
      <c r="B151" s="180"/>
      <c r="C151" s="253" t="s">
        <v>319</v>
      </c>
      <c r="D151" s="262">
        <f>0.8+0.72</f>
        <v>1.52</v>
      </c>
      <c r="E151" s="263" t="s">
        <v>313</v>
      </c>
      <c r="F151" s="241">
        <v>1.5</v>
      </c>
      <c r="G151" s="241">
        <f>3.5+1.85+3.5+1.85</f>
        <v>10.7</v>
      </c>
      <c r="H151" s="241">
        <f t="shared" si="4"/>
        <v>14.529999999999998</v>
      </c>
      <c r="I151" s="530"/>
      <c r="J151" s="523"/>
      <c r="K151" s="523"/>
      <c r="L151" s="191"/>
    </row>
    <row r="152" spans="1:14" s="179" customFormat="1" x14ac:dyDescent="0.2">
      <c r="A152" s="227"/>
      <c r="B152" s="180"/>
      <c r="C152" s="253" t="s">
        <v>274</v>
      </c>
      <c r="D152" s="262">
        <f>1.6+1.6+0.72</f>
        <v>3.92</v>
      </c>
      <c r="E152" s="263" t="s">
        <v>313</v>
      </c>
      <c r="F152" s="241">
        <v>1.5</v>
      </c>
      <c r="G152" s="241">
        <v>18.940000000000001</v>
      </c>
      <c r="H152" s="241">
        <f t="shared" si="4"/>
        <v>24.490000000000002</v>
      </c>
      <c r="I152" s="530"/>
      <c r="J152" s="523"/>
      <c r="K152" s="523"/>
      <c r="L152" s="191"/>
    </row>
    <row r="153" spans="1:14" s="179" customFormat="1" x14ac:dyDescent="0.2">
      <c r="A153" s="227"/>
      <c r="B153" s="180"/>
      <c r="C153" s="253" t="s">
        <v>320</v>
      </c>
      <c r="D153" s="262">
        <f>6.48+0.96+1+4.4</f>
        <v>12.840000000000002</v>
      </c>
      <c r="E153" s="263" t="s">
        <v>313</v>
      </c>
      <c r="F153" s="241">
        <v>1.3</v>
      </c>
      <c r="G153" s="264">
        <v>38.5</v>
      </c>
      <c r="H153" s="264">
        <f t="shared" si="4"/>
        <v>37.21</v>
      </c>
      <c r="I153" s="530"/>
      <c r="J153" s="523"/>
      <c r="K153" s="523"/>
      <c r="L153" s="191"/>
    </row>
    <row r="154" spans="1:14" s="179" customFormat="1" ht="13.5" customHeight="1" x14ac:dyDescent="0.2">
      <c r="A154" s="227"/>
      <c r="B154" s="180"/>
      <c r="C154" s="253" t="str">
        <f>C121</f>
        <v>Consultório c/ sanit. anexo</v>
      </c>
      <c r="D154" s="262">
        <f>1.6+0.72</f>
        <v>2.3200000000000003</v>
      </c>
      <c r="E154" s="263" t="s">
        <v>313</v>
      </c>
      <c r="F154" s="241">
        <v>1.5</v>
      </c>
      <c r="G154" s="241">
        <v>13.06</v>
      </c>
      <c r="H154" s="264">
        <f t="shared" si="4"/>
        <v>17.27</v>
      </c>
      <c r="I154" s="530"/>
      <c r="J154" s="523"/>
      <c r="K154" s="523"/>
      <c r="L154" s="191"/>
    </row>
    <row r="155" spans="1:14" s="179" customFormat="1" ht="27.75" customHeight="1" x14ac:dyDescent="0.2">
      <c r="A155" s="227"/>
      <c r="B155" s="180"/>
      <c r="C155" s="253" t="s">
        <v>276</v>
      </c>
      <c r="D155" s="262">
        <f>0.72+4.68</f>
        <v>5.3999999999999995</v>
      </c>
      <c r="E155" s="263" t="s">
        <v>313</v>
      </c>
      <c r="F155" s="241">
        <v>1.5</v>
      </c>
      <c r="G155" s="264">
        <f>5.8+5.8+3.58+2.5</f>
        <v>17.68</v>
      </c>
      <c r="H155" s="264">
        <f t="shared" si="4"/>
        <v>21.12</v>
      </c>
      <c r="I155" s="530"/>
      <c r="J155" s="523"/>
      <c r="K155" s="523"/>
      <c r="L155" s="191"/>
    </row>
    <row r="156" spans="1:14" s="179" customFormat="1" ht="26.25" customHeight="1" x14ac:dyDescent="0.2">
      <c r="A156" s="227"/>
      <c r="B156" s="180"/>
      <c r="C156" s="253" t="str">
        <f>E93</f>
        <v>Consultório 03 c/ sanit. Anexo</v>
      </c>
      <c r="D156" s="262">
        <f>0.96+1.6+0.96</f>
        <v>3.52</v>
      </c>
      <c r="E156" s="263" t="s">
        <v>313</v>
      </c>
      <c r="F156" s="241">
        <v>1.5</v>
      </c>
      <c r="G156" s="264">
        <f>2.62+2.62+2.93+2.93</f>
        <v>11.1</v>
      </c>
      <c r="H156" s="264">
        <f t="shared" si="4"/>
        <v>13.129999999999999</v>
      </c>
      <c r="I156" s="530"/>
      <c r="J156" s="523"/>
      <c r="K156" s="523"/>
      <c r="L156" s="191"/>
    </row>
    <row r="157" spans="1:14" s="179" customFormat="1" ht="15" customHeight="1" x14ac:dyDescent="0.2">
      <c r="A157" s="227"/>
      <c r="B157" s="180"/>
      <c r="C157" s="253" t="str">
        <f>D179</f>
        <v>Corredor (perpendicular)</v>
      </c>
      <c r="D157" s="262">
        <v>5.6</v>
      </c>
      <c r="E157" s="263" t="s">
        <v>313</v>
      </c>
      <c r="F157" s="241">
        <v>1.3</v>
      </c>
      <c r="G157" s="264">
        <f>1.2+1.2+9.85+9.85</f>
        <v>22.1</v>
      </c>
      <c r="H157" s="264">
        <f t="shared" si="4"/>
        <v>23.130000000000003</v>
      </c>
      <c r="I157" s="530"/>
      <c r="J157" s="523"/>
      <c r="K157" s="523"/>
      <c r="L157" s="191"/>
    </row>
    <row r="158" spans="1:14" s="179" customFormat="1" ht="15" x14ac:dyDescent="0.25">
      <c r="A158" s="227"/>
      <c r="B158" s="180"/>
      <c r="C158" s="547"/>
      <c r="D158" s="526"/>
      <c r="E158" s="523"/>
      <c r="F158" s="523"/>
      <c r="G158" s="265" t="s">
        <v>19</v>
      </c>
      <c r="H158" s="251">
        <f>SUM(H147:H157)</f>
        <v>229.01000000000002</v>
      </c>
      <c r="I158" s="530"/>
      <c r="J158" s="530"/>
      <c r="K158" s="530"/>
      <c r="L158" s="586"/>
    </row>
    <row r="159" spans="1:14" s="179" customFormat="1" ht="15" x14ac:dyDescent="0.25">
      <c r="A159" s="227"/>
      <c r="B159" s="180"/>
      <c r="C159" s="547"/>
      <c r="D159" s="526"/>
      <c r="E159" s="523"/>
      <c r="F159" s="523"/>
      <c r="G159" s="505"/>
      <c r="H159" s="505"/>
      <c r="I159" s="530"/>
      <c r="J159" s="505"/>
      <c r="K159" s="505"/>
      <c r="L159" s="308"/>
    </row>
    <row r="160" spans="1:14" s="179" customFormat="1" ht="15" x14ac:dyDescent="0.25">
      <c r="A160" s="227"/>
      <c r="B160" s="180"/>
      <c r="C160" s="547"/>
      <c r="D160" s="257" t="s">
        <v>272</v>
      </c>
      <c r="E160" s="266" t="s">
        <v>258</v>
      </c>
      <c r="F160" s="260" t="s">
        <v>252</v>
      </c>
      <c r="G160" s="260" t="s">
        <v>253</v>
      </c>
      <c r="H160" s="261" t="s">
        <v>25</v>
      </c>
      <c r="I160" s="530"/>
      <c r="J160" s="505"/>
      <c r="K160" s="505"/>
      <c r="L160" s="308"/>
    </row>
    <row r="161" spans="1:12" s="179" customFormat="1" ht="17.25" customHeight="1" x14ac:dyDescent="0.2">
      <c r="A161" s="227"/>
      <c r="B161" s="180"/>
      <c r="C161" s="547"/>
      <c r="D161" s="267" t="s">
        <v>312</v>
      </c>
      <c r="E161" s="238" t="s">
        <v>321</v>
      </c>
      <c r="F161" s="241">
        <v>3.08</v>
      </c>
      <c r="G161" s="241">
        <v>3.55</v>
      </c>
      <c r="H161" s="241">
        <f>F161*G161</f>
        <v>10.933999999999999</v>
      </c>
      <c r="I161" s="530"/>
      <c r="J161" s="505"/>
      <c r="K161" s="505"/>
      <c r="L161" s="308"/>
    </row>
    <row r="162" spans="1:12" s="179" customFormat="1" ht="28.5" customHeight="1" x14ac:dyDescent="0.2">
      <c r="A162" s="227"/>
      <c r="B162" s="180"/>
      <c r="C162" s="547"/>
      <c r="D162" s="267" t="s">
        <v>316</v>
      </c>
      <c r="E162" s="238" t="s">
        <v>321</v>
      </c>
      <c r="F162" s="404" t="s">
        <v>322</v>
      </c>
      <c r="G162" s="405"/>
      <c r="H162" s="241">
        <v>12.94</v>
      </c>
      <c r="I162" s="530"/>
      <c r="J162" s="505"/>
      <c r="K162" s="505"/>
      <c r="L162" s="308"/>
    </row>
    <row r="163" spans="1:12" s="179" customFormat="1" ht="12.75" customHeight="1" x14ac:dyDescent="0.2">
      <c r="A163" s="227"/>
      <c r="B163" s="180"/>
      <c r="C163" s="547"/>
      <c r="D163" s="268" t="s">
        <v>281</v>
      </c>
      <c r="E163" s="238" t="s">
        <v>321</v>
      </c>
      <c r="F163" s="252">
        <v>1.7</v>
      </c>
      <c r="G163" s="252">
        <v>1.55</v>
      </c>
      <c r="H163" s="241">
        <f>F163*G163</f>
        <v>2.6349999999999998</v>
      </c>
      <c r="I163" s="530"/>
      <c r="J163" s="505"/>
      <c r="K163" s="505"/>
      <c r="L163" s="308"/>
    </row>
    <row r="164" spans="1:12" s="179" customFormat="1" ht="12.75" customHeight="1" x14ac:dyDescent="0.2">
      <c r="A164" s="227"/>
      <c r="B164" s="180"/>
      <c r="C164" s="547"/>
      <c r="D164" s="268" t="s">
        <v>282</v>
      </c>
      <c r="E164" s="238" t="s">
        <v>321</v>
      </c>
      <c r="F164" s="252">
        <v>1.7</v>
      </c>
      <c r="G164" s="252">
        <v>1.55</v>
      </c>
      <c r="H164" s="241">
        <f t="shared" ref="H164:H184" si="5">F164*G164</f>
        <v>2.6349999999999998</v>
      </c>
      <c r="I164" s="530"/>
      <c r="J164" s="505"/>
      <c r="K164" s="505"/>
      <c r="L164" s="308"/>
    </row>
    <row r="165" spans="1:12" s="179" customFormat="1" x14ac:dyDescent="0.2">
      <c r="A165" s="227"/>
      <c r="B165" s="180"/>
      <c r="C165" s="547"/>
      <c r="D165" s="267" t="s">
        <v>317</v>
      </c>
      <c r="E165" s="238" t="s">
        <v>321</v>
      </c>
      <c r="F165" s="252">
        <v>5.3</v>
      </c>
      <c r="G165" s="252">
        <v>4.3899999999999997</v>
      </c>
      <c r="H165" s="241">
        <f t="shared" si="5"/>
        <v>23.266999999999996</v>
      </c>
      <c r="I165" s="530"/>
      <c r="J165" s="505"/>
      <c r="K165" s="505"/>
      <c r="L165" s="308"/>
    </row>
    <row r="166" spans="1:12" s="179" customFormat="1" x14ac:dyDescent="0.2">
      <c r="A166" s="227"/>
      <c r="B166" s="180"/>
      <c r="C166" s="547"/>
      <c r="D166" s="267" t="s">
        <v>283</v>
      </c>
      <c r="E166" s="238" t="s">
        <v>321</v>
      </c>
      <c r="F166" s="252">
        <v>2.63</v>
      </c>
      <c r="G166" s="252">
        <v>3.53</v>
      </c>
      <c r="H166" s="241">
        <f t="shared" si="5"/>
        <v>9.2838999999999992</v>
      </c>
      <c r="I166" s="530"/>
      <c r="J166" s="505"/>
      <c r="K166" s="505"/>
      <c r="L166" s="308"/>
    </row>
    <row r="167" spans="1:12" s="179" customFormat="1" x14ac:dyDescent="0.2">
      <c r="A167" s="227"/>
      <c r="B167" s="180"/>
      <c r="C167" s="547"/>
      <c r="D167" s="267" t="s">
        <v>284</v>
      </c>
      <c r="E167" s="238" t="s">
        <v>321</v>
      </c>
      <c r="F167" s="252">
        <v>1.85</v>
      </c>
      <c r="G167" s="269">
        <v>3.53</v>
      </c>
      <c r="H167" s="264">
        <f t="shared" si="5"/>
        <v>6.5305</v>
      </c>
      <c r="I167" s="530"/>
      <c r="J167" s="505"/>
      <c r="K167" s="505"/>
      <c r="L167" s="308"/>
    </row>
    <row r="168" spans="1:12" s="179" customFormat="1" ht="12.75" customHeight="1" x14ac:dyDescent="0.2">
      <c r="A168" s="227"/>
      <c r="B168" s="180"/>
      <c r="C168" s="547"/>
      <c r="D168" s="267" t="str">
        <f>C152</f>
        <v>Sala de fisioterapia</v>
      </c>
      <c r="E168" s="238" t="s">
        <v>321</v>
      </c>
      <c r="F168" s="252">
        <v>5.92</v>
      </c>
      <c r="G168" s="269">
        <v>3.55</v>
      </c>
      <c r="H168" s="264">
        <f t="shared" si="5"/>
        <v>21.015999999999998</v>
      </c>
      <c r="I168" s="530"/>
      <c r="J168" s="505"/>
      <c r="K168" s="505"/>
      <c r="L168" s="308"/>
    </row>
    <row r="169" spans="1:12" s="179" customFormat="1" ht="15.75" customHeight="1" x14ac:dyDescent="0.2">
      <c r="A169" s="227"/>
      <c r="B169" s="180"/>
      <c r="C169" s="547"/>
      <c r="D169" s="267" t="str">
        <f>C153</f>
        <v>Circulação (corredor central)</v>
      </c>
      <c r="E169" s="235" t="s">
        <v>321</v>
      </c>
      <c r="F169" s="252">
        <v>2</v>
      </c>
      <c r="G169" s="269">
        <v>17.25</v>
      </c>
      <c r="H169" s="264">
        <f t="shared" si="5"/>
        <v>34.5</v>
      </c>
      <c r="I169" s="530"/>
      <c r="J169" s="505"/>
      <c r="K169" s="505"/>
      <c r="L169" s="308"/>
    </row>
    <row r="170" spans="1:12" s="179" customFormat="1" ht="15" customHeight="1" x14ac:dyDescent="0.2">
      <c r="A170" s="227"/>
      <c r="B170" s="180"/>
      <c r="C170" s="547"/>
      <c r="D170" s="267" t="str">
        <f>C154</f>
        <v>Consultório c/ sanit. anexo</v>
      </c>
      <c r="E170" s="235" t="s">
        <v>321</v>
      </c>
      <c r="F170" s="252">
        <v>2.98</v>
      </c>
      <c r="G170" s="252">
        <v>3.55</v>
      </c>
      <c r="H170" s="241">
        <f t="shared" si="5"/>
        <v>10.578999999999999</v>
      </c>
      <c r="I170" s="530"/>
      <c r="J170" s="505"/>
      <c r="K170" s="505"/>
      <c r="L170" s="308"/>
    </row>
    <row r="171" spans="1:12" s="179" customFormat="1" ht="15.75" customHeight="1" x14ac:dyDescent="0.2">
      <c r="A171" s="227"/>
      <c r="B171" s="180"/>
      <c r="C171" s="547"/>
      <c r="D171" s="267" t="s">
        <v>323</v>
      </c>
      <c r="E171" s="235" t="s">
        <v>321</v>
      </c>
      <c r="F171" s="252">
        <v>1.6</v>
      </c>
      <c r="G171" s="241">
        <v>1.9</v>
      </c>
      <c r="H171" s="241">
        <f t="shared" si="5"/>
        <v>3.04</v>
      </c>
      <c r="I171" s="530"/>
      <c r="J171" s="505"/>
      <c r="K171" s="505"/>
      <c r="L171" s="308"/>
    </row>
    <row r="172" spans="1:12" s="179" customFormat="1" ht="13.5" customHeight="1" x14ac:dyDescent="0.2">
      <c r="A172" s="227"/>
      <c r="B172" s="180"/>
      <c r="C172" s="547"/>
      <c r="D172" s="267" t="s">
        <v>287</v>
      </c>
      <c r="E172" s="235" t="s">
        <v>321</v>
      </c>
      <c r="F172" s="252">
        <f>1.65</f>
        <v>1.65</v>
      </c>
      <c r="G172" s="264">
        <v>1.55</v>
      </c>
      <c r="H172" s="241">
        <f t="shared" si="5"/>
        <v>2.5575000000000001</v>
      </c>
      <c r="I172" s="530"/>
      <c r="J172" s="505"/>
      <c r="K172" s="505"/>
      <c r="L172" s="308"/>
    </row>
    <row r="173" spans="1:12" s="179" customFormat="1" ht="13.5" customHeight="1" x14ac:dyDescent="0.2">
      <c r="A173" s="227"/>
      <c r="B173" s="180"/>
      <c r="C173" s="547"/>
      <c r="D173" s="267" t="s">
        <v>275</v>
      </c>
      <c r="E173" s="235" t="s">
        <v>321</v>
      </c>
      <c r="F173" s="252">
        <v>2.5499999999999998</v>
      </c>
      <c r="G173" s="264">
        <v>3.55</v>
      </c>
      <c r="H173" s="241">
        <f t="shared" si="5"/>
        <v>9.0524999999999984</v>
      </c>
      <c r="I173" s="530"/>
      <c r="J173" s="505"/>
      <c r="K173" s="505"/>
      <c r="L173" s="308"/>
    </row>
    <row r="174" spans="1:12" s="179" customFormat="1" ht="13.5" customHeight="1" x14ac:dyDescent="0.2">
      <c r="A174" s="227"/>
      <c r="B174" s="180"/>
      <c r="C174" s="547"/>
      <c r="D174" s="267" t="s">
        <v>277</v>
      </c>
      <c r="E174" s="235" t="s">
        <v>321</v>
      </c>
      <c r="F174" s="252">
        <v>2.77</v>
      </c>
      <c r="G174" s="264">
        <v>3.55</v>
      </c>
      <c r="H174" s="241">
        <f>F174*G174</f>
        <v>9.833499999999999</v>
      </c>
      <c r="I174" s="530"/>
      <c r="J174" s="505"/>
      <c r="K174" s="505"/>
      <c r="L174" s="308"/>
    </row>
    <row r="175" spans="1:12" s="179" customFormat="1" ht="16.5" customHeight="1" x14ac:dyDescent="0.2">
      <c r="A175" s="227"/>
      <c r="B175" s="180"/>
      <c r="C175" s="547"/>
      <c r="D175" s="267" t="str">
        <f>C123</f>
        <v>Sala de administração e gerência</v>
      </c>
      <c r="E175" s="235" t="s">
        <v>321</v>
      </c>
      <c r="F175" s="252">
        <v>3.64</v>
      </c>
      <c r="G175" s="264">
        <v>2.83</v>
      </c>
      <c r="H175" s="241">
        <f t="shared" si="5"/>
        <v>10.301200000000001</v>
      </c>
      <c r="I175" s="530"/>
      <c r="J175" s="505"/>
      <c r="K175" s="505"/>
      <c r="L175" s="308"/>
    </row>
    <row r="176" spans="1:12" s="179" customFormat="1" ht="15" customHeight="1" x14ac:dyDescent="0.2">
      <c r="A176" s="227"/>
      <c r="B176" s="180"/>
      <c r="C176" s="547"/>
      <c r="D176" s="267" t="str">
        <f>C156</f>
        <v>Consultório 03 c/ sanit. Anexo</v>
      </c>
      <c r="E176" s="235" t="s">
        <v>321</v>
      </c>
      <c r="F176" s="241">
        <v>2.93</v>
      </c>
      <c r="G176" s="264">
        <v>2.62</v>
      </c>
      <c r="H176" s="264">
        <f>F176*G176</f>
        <v>7.6766000000000005</v>
      </c>
      <c r="I176" s="530"/>
      <c r="J176" s="505"/>
      <c r="K176" s="505"/>
      <c r="L176" s="308"/>
    </row>
    <row r="177" spans="1:17" s="179" customFormat="1" ht="17.25" customHeight="1" x14ac:dyDescent="0.2">
      <c r="A177" s="227"/>
      <c r="B177" s="180"/>
      <c r="C177" s="547"/>
      <c r="D177" s="267" t="s">
        <v>324</v>
      </c>
      <c r="E177" s="235" t="s">
        <v>321</v>
      </c>
      <c r="F177" s="241">
        <v>1.72</v>
      </c>
      <c r="G177" s="264">
        <v>3.58</v>
      </c>
      <c r="H177" s="264">
        <f>F177*G177</f>
        <v>6.1576000000000004</v>
      </c>
      <c r="I177" s="530"/>
      <c r="J177" s="505"/>
      <c r="K177" s="505"/>
      <c r="L177" s="308"/>
    </row>
    <row r="178" spans="1:17" s="179" customFormat="1" ht="16.5" customHeight="1" x14ac:dyDescent="0.2">
      <c r="A178" s="227"/>
      <c r="B178" s="180"/>
      <c r="C178" s="547"/>
      <c r="D178" s="267" t="str">
        <f>C155</f>
        <v>Sala de atividades coletivas/ACS</v>
      </c>
      <c r="E178" s="235" t="s">
        <v>321</v>
      </c>
      <c r="F178" s="252">
        <v>5.8</v>
      </c>
      <c r="G178" s="252">
        <v>3.58</v>
      </c>
      <c r="H178" s="264">
        <f>F178*G178</f>
        <v>20.763999999999999</v>
      </c>
      <c r="I178" s="530"/>
      <c r="J178" s="505"/>
      <c r="K178" s="505"/>
      <c r="L178" s="308"/>
    </row>
    <row r="179" spans="1:17" s="179" customFormat="1" ht="16.5" customHeight="1" x14ac:dyDescent="0.2">
      <c r="A179" s="227"/>
      <c r="B179" s="180"/>
      <c r="C179" s="547"/>
      <c r="D179" s="267" t="s">
        <v>325</v>
      </c>
      <c r="E179" s="235" t="s">
        <v>321</v>
      </c>
      <c r="F179" s="252">
        <v>1.2</v>
      </c>
      <c r="G179" s="264">
        <v>9.85</v>
      </c>
      <c r="H179" s="264">
        <f t="shared" si="5"/>
        <v>11.819999999999999</v>
      </c>
      <c r="I179" s="530"/>
      <c r="J179" s="505"/>
      <c r="K179" s="505"/>
      <c r="L179" s="308"/>
    </row>
    <row r="180" spans="1:17" s="179" customFormat="1" ht="13.5" customHeight="1" x14ac:dyDescent="0.2">
      <c r="A180" s="227"/>
      <c r="B180" s="180"/>
      <c r="C180" s="547"/>
      <c r="D180" s="270" t="s">
        <v>291</v>
      </c>
      <c r="E180" s="235" t="s">
        <v>321</v>
      </c>
      <c r="F180" s="241">
        <v>3.56</v>
      </c>
      <c r="G180" s="264">
        <v>1.35</v>
      </c>
      <c r="H180" s="264">
        <f t="shared" si="5"/>
        <v>4.806</v>
      </c>
      <c r="I180" s="530"/>
      <c r="J180" s="505"/>
      <c r="K180" s="505"/>
      <c r="L180" s="308"/>
    </row>
    <row r="181" spans="1:17" s="179" customFormat="1" ht="13.5" customHeight="1" x14ac:dyDescent="0.2">
      <c r="A181" s="227"/>
      <c r="B181" s="180"/>
      <c r="C181" s="547"/>
      <c r="D181" s="270" t="s">
        <v>292</v>
      </c>
      <c r="E181" s="235" t="s">
        <v>321</v>
      </c>
      <c r="F181" s="241">
        <v>3.56</v>
      </c>
      <c r="G181" s="264">
        <v>1.35</v>
      </c>
      <c r="H181" s="264">
        <f t="shared" si="5"/>
        <v>4.806</v>
      </c>
      <c r="I181" s="530"/>
      <c r="J181" s="505"/>
      <c r="K181" s="505"/>
      <c r="L181" s="308"/>
    </row>
    <row r="182" spans="1:17" s="179" customFormat="1" ht="13.5" customHeight="1" x14ac:dyDescent="0.2">
      <c r="A182" s="227"/>
      <c r="B182" s="180"/>
      <c r="C182" s="547"/>
      <c r="D182" s="270" t="s">
        <v>293</v>
      </c>
      <c r="E182" s="235" t="s">
        <v>321</v>
      </c>
      <c r="F182" s="241">
        <v>2.1</v>
      </c>
      <c r="G182" s="264">
        <v>1.45</v>
      </c>
      <c r="H182" s="264">
        <f t="shared" si="5"/>
        <v>3.0449999999999999</v>
      </c>
      <c r="I182" s="530"/>
      <c r="J182" s="505"/>
      <c r="K182" s="505"/>
      <c r="L182" s="308"/>
    </row>
    <row r="183" spans="1:17" s="179" customFormat="1" ht="14.25" customHeight="1" x14ac:dyDescent="0.2">
      <c r="A183" s="227"/>
      <c r="B183" s="180"/>
      <c r="C183" s="547"/>
      <c r="D183" s="263" t="s">
        <v>294</v>
      </c>
      <c r="E183" s="235" t="s">
        <v>321</v>
      </c>
      <c r="F183" s="241">
        <v>2.71</v>
      </c>
      <c r="G183" s="264">
        <v>1.43</v>
      </c>
      <c r="H183" s="264">
        <f t="shared" si="5"/>
        <v>3.8752999999999997</v>
      </c>
      <c r="I183" s="530"/>
      <c r="J183" s="505"/>
      <c r="K183" s="505"/>
      <c r="L183" s="308"/>
    </row>
    <row r="184" spans="1:17" s="179" customFormat="1" ht="11.25" customHeight="1" x14ac:dyDescent="0.2">
      <c r="A184" s="227"/>
      <c r="B184" s="180"/>
      <c r="C184" s="547"/>
      <c r="D184" s="263" t="s">
        <v>295</v>
      </c>
      <c r="E184" s="235" t="s">
        <v>321</v>
      </c>
      <c r="F184" s="241">
        <v>3.61</v>
      </c>
      <c r="G184" s="264">
        <v>1.5</v>
      </c>
      <c r="H184" s="264">
        <f t="shared" si="5"/>
        <v>5.415</v>
      </c>
      <c r="I184" s="530"/>
      <c r="J184" s="505"/>
      <c r="K184" s="505"/>
      <c r="L184" s="308"/>
    </row>
    <row r="185" spans="1:17" s="179" customFormat="1" ht="15" x14ac:dyDescent="0.25">
      <c r="A185" s="227"/>
      <c r="B185" s="180"/>
      <c r="C185" s="547"/>
      <c r="D185" s="526"/>
      <c r="E185" s="523"/>
      <c r="F185" s="530"/>
      <c r="G185" s="271" t="s">
        <v>19</v>
      </c>
      <c r="H185" s="251">
        <f>SUM(H161:H184)</f>
        <v>237.47060000000002</v>
      </c>
      <c r="I185" s="530"/>
      <c r="J185" s="505"/>
      <c r="K185" s="505"/>
      <c r="L185" s="308"/>
    </row>
    <row r="186" spans="1:17" s="179" customFormat="1" ht="15" x14ac:dyDescent="0.25">
      <c r="A186" s="227"/>
      <c r="B186" s="180"/>
      <c r="C186" s="547"/>
      <c r="D186" s="526"/>
      <c r="E186" s="523"/>
      <c r="F186" s="523"/>
      <c r="G186" s="272" t="s">
        <v>38</v>
      </c>
      <c r="H186" s="192">
        <f>H158+H185</f>
        <v>466.48060000000004</v>
      </c>
      <c r="I186" s="530"/>
      <c r="J186" s="505"/>
      <c r="K186" s="505"/>
      <c r="L186" s="308"/>
    </row>
    <row r="187" spans="1:17" s="179" customFormat="1" ht="15" x14ac:dyDescent="0.25">
      <c r="A187" s="227"/>
      <c r="B187" s="180"/>
      <c r="C187" s="547"/>
      <c r="D187" s="526"/>
      <c r="E187" s="526"/>
      <c r="F187" s="526"/>
      <c r="G187" s="526"/>
      <c r="H187" s="526"/>
      <c r="I187" s="526"/>
      <c r="J187" s="526"/>
      <c r="K187" s="526"/>
      <c r="L187" s="589"/>
    </row>
    <row r="188" spans="1:17" s="179" customFormat="1" ht="41.25" customHeight="1" x14ac:dyDescent="0.2">
      <c r="A188" s="227"/>
      <c r="B188" s="229" t="str">
        <f>PLANILHA!$A$31</f>
        <v>4.2</v>
      </c>
      <c r="C188" s="170" t="str">
        <f>PLANILHA!$B$31</f>
        <v>17.017.0020-A</v>
      </c>
      <c r="D188" s="372" t="str">
        <f>PLANILHA!$C$31</f>
        <v>PINTURA COM ESMALTE SINTETICO ALQUIDICO,PARA INTERIOR,ALTO BRILHO,BRILHANTE,ACETINADO OU FOSCO,ACABAMENTO PADRAO,EM DUAS DEMAOS SOBRE SUPERFICIE PREPARADA CONFORME O ITEM 17.017.0010,EXCLUSIVE ESTE PREPARO 3%-DESGASTE DE FERRAMENTAS E EPI</v>
      </c>
      <c r="E188" s="373"/>
      <c r="F188" s="373"/>
      <c r="G188" s="373"/>
      <c r="H188" s="373"/>
      <c r="I188" s="373"/>
      <c r="J188" s="373"/>
      <c r="K188" s="373"/>
      <c r="L188" s="374"/>
    </row>
    <row r="189" spans="1:17" s="179" customFormat="1" x14ac:dyDescent="0.2">
      <c r="A189" s="227"/>
      <c r="B189" s="231"/>
      <c r="C189" s="532"/>
      <c r="D189" s="545"/>
      <c r="E189" s="232"/>
      <c r="F189" s="233"/>
      <c r="G189" s="233"/>
      <c r="H189" s="233"/>
      <c r="I189" s="546"/>
      <c r="J189" s="546"/>
      <c r="K189" s="546"/>
      <c r="L189" s="234"/>
    </row>
    <row r="190" spans="1:17" s="179" customFormat="1" x14ac:dyDescent="0.2">
      <c r="A190" s="227"/>
      <c r="B190" s="180"/>
      <c r="C190" s="547"/>
      <c r="D190" s="253" t="s">
        <v>272</v>
      </c>
      <c r="E190" s="253" t="s">
        <v>326</v>
      </c>
      <c r="F190" s="209" t="s">
        <v>259</v>
      </c>
      <c r="G190" s="209" t="s">
        <v>311</v>
      </c>
      <c r="H190" s="189" t="s">
        <v>25</v>
      </c>
      <c r="I190" s="368" t="s">
        <v>255</v>
      </c>
      <c r="J190" s="527"/>
      <c r="K190" s="527"/>
      <c r="L190" s="369"/>
      <c r="Q190" s="179">
        <f>18*2</f>
        <v>36</v>
      </c>
    </row>
    <row r="191" spans="1:17" s="179" customFormat="1" ht="15" customHeight="1" x14ac:dyDescent="0.2">
      <c r="A191" s="227"/>
      <c r="B191" s="180"/>
      <c r="C191" s="547"/>
      <c r="D191" s="253" t="str">
        <f>C147</f>
        <v>Consultório indiferenciado 01</v>
      </c>
      <c r="E191" s="253">
        <f t="shared" ref="E191:E196" si="6">1.17</f>
        <v>1.17</v>
      </c>
      <c r="F191" s="241">
        <v>1.3</v>
      </c>
      <c r="G191" s="241">
        <f>G147</f>
        <v>13.26</v>
      </c>
      <c r="H191" s="241">
        <f t="shared" ref="H191:H199" si="7">F191*G191-E191</f>
        <v>16.067999999999998</v>
      </c>
      <c r="I191" s="389" t="s">
        <v>327</v>
      </c>
      <c r="J191" s="548"/>
      <c r="K191" s="548"/>
      <c r="L191" s="378"/>
      <c r="M191" s="179" t="s">
        <v>328</v>
      </c>
      <c r="N191" s="179">
        <v>90</v>
      </c>
      <c r="Q191" s="179">
        <f>6+6</f>
        <v>12</v>
      </c>
    </row>
    <row r="192" spans="1:17" s="179" customFormat="1" ht="17.25" customHeight="1" x14ac:dyDescent="0.2">
      <c r="A192" s="227"/>
      <c r="B192" s="180"/>
      <c r="C192" s="547"/>
      <c r="D192" s="253" t="s">
        <v>316</v>
      </c>
      <c r="E192" s="253">
        <f t="shared" si="6"/>
        <v>1.17</v>
      </c>
      <c r="F192" s="241">
        <v>1.3</v>
      </c>
      <c r="G192" s="241">
        <v>15.04</v>
      </c>
      <c r="H192" s="241">
        <f t="shared" si="7"/>
        <v>18.381999999999998</v>
      </c>
      <c r="I192" s="389"/>
      <c r="J192" s="548"/>
      <c r="K192" s="548"/>
      <c r="L192" s="378"/>
      <c r="M192" s="179">
        <v>1.56</v>
      </c>
      <c r="N192" s="179">
        <v>1.2</v>
      </c>
    </row>
    <row r="193" spans="1:17" s="179" customFormat="1" ht="16.5" customHeight="1" x14ac:dyDescent="0.2">
      <c r="A193" s="227"/>
      <c r="B193" s="180"/>
      <c r="C193" s="547"/>
      <c r="D193" s="253" t="str">
        <f>D166</f>
        <v>Recepção</v>
      </c>
      <c r="E193" s="253">
        <f t="shared" si="6"/>
        <v>1.17</v>
      </c>
      <c r="F193" s="241">
        <v>1.3</v>
      </c>
      <c r="G193" s="241">
        <f>G150</f>
        <v>12.32</v>
      </c>
      <c r="H193" s="241">
        <f t="shared" si="7"/>
        <v>14.846000000000002</v>
      </c>
      <c r="I193" s="549"/>
      <c r="J193" s="563" t="s">
        <v>318</v>
      </c>
      <c r="K193" s="563"/>
      <c r="L193" s="403"/>
      <c r="M193" s="179" t="s">
        <v>329</v>
      </c>
      <c r="N193" s="179">
        <v>1</v>
      </c>
    </row>
    <row r="194" spans="1:17" s="179" customFormat="1" ht="15" customHeight="1" x14ac:dyDescent="0.2">
      <c r="A194" s="227"/>
      <c r="B194" s="273"/>
      <c r="C194" s="564"/>
      <c r="D194" s="274" t="str">
        <f>D167</f>
        <v>Sala de inalação</v>
      </c>
      <c r="E194" s="253">
        <f t="shared" si="6"/>
        <v>1.17</v>
      </c>
      <c r="F194" s="241">
        <v>1.3</v>
      </c>
      <c r="G194" s="275">
        <f>G151</f>
        <v>10.7</v>
      </c>
      <c r="H194" s="241">
        <f t="shared" si="7"/>
        <v>12.74</v>
      </c>
      <c r="I194" s="565"/>
      <c r="J194" s="562"/>
      <c r="K194" s="562"/>
      <c r="L194" s="256"/>
    </row>
    <row r="195" spans="1:17" s="179" customFormat="1" ht="15.75" customHeight="1" x14ac:dyDescent="0.2">
      <c r="A195" s="227"/>
      <c r="B195" s="180"/>
      <c r="C195" s="547"/>
      <c r="D195" s="253" t="str">
        <f>D168</f>
        <v>Sala de fisioterapia</v>
      </c>
      <c r="E195" s="253">
        <f t="shared" si="6"/>
        <v>1.17</v>
      </c>
      <c r="F195" s="241">
        <v>1.3</v>
      </c>
      <c r="G195" s="241">
        <f>G152</f>
        <v>18.940000000000001</v>
      </c>
      <c r="H195" s="241">
        <f t="shared" si="7"/>
        <v>23.452000000000005</v>
      </c>
      <c r="I195" s="549"/>
      <c r="J195" s="549"/>
      <c r="K195" s="549"/>
      <c r="L195" s="237"/>
    </row>
    <row r="196" spans="1:17" s="179" customFormat="1" ht="18.75" customHeight="1" x14ac:dyDescent="0.2">
      <c r="A196" s="227"/>
      <c r="B196" s="180"/>
      <c r="C196" s="547"/>
      <c r="D196" s="253" t="str">
        <f>D170</f>
        <v>Consultório c/ sanit. anexo</v>
      </c>
      <c r="E196" s="253">
        <f t="shared" si="6"/>
        <v>1.17</v>
      </c>
      <c r="F196" s="241">
        <v>1.3</v>
      </c>
      <c r="G196" s="241">
        <f>G154</f>
        <v>13.06</v>
      </c>
      <c r="H196" s="241">
        <f t="shared" si="7"/>
        <v>15.808000000000002</v>
      </c>
      <c r="I196" s="549"/>
      <c r="J196" s="549"/>
      <c r="K196" s="549"/>
      <c r="L196" s="237"/>
    </row>
    <row r="197" spans="1:17" s="179" customFormat="1" ht="18.75" customHeight="1" x14ac:dyDescent="0.2">
      <c r="A197" s="227"/>
      <c r="B197" s="180"/>
      <c r="C197" s="547"/>
      <c r="D197" s="253" t="str">
        <f>D178</f>
        <v>Sala de atividades coletivas/ACS</v>
      </c>
      <c r="E197" s="253">
        <f>1.17+2.34+1.8</f>
        <v>5.31</v>
      </c>
      <c r="F197" s="241">
        <v>1.3</v>
      </c>
      <c r="G197" s="264">
        <f>G155</f>
        <v>17.68</v>
      </c>
      <c r="H197" s="241">
        <f t="shared" si="7"/>
        <v>17.674000000000003</v>
      </c>
      <c r="I197" s="549"/>
      <c r="J197" s="549"/>
      <c r="K197" s="549"/>
      <c r="L197" s="237"/>
    </row>
    <row r="198" spans="1:17" s="179" customFormat="1" ht="18" customHeight="1" x14ac:dyDescent="0.2">
      <c r="A198" s="227"/>
      <c r="B198" s="180"/>
      <c r="C198" s="547"/>
      <c r="D198" s="253" t="str">
        <f>D176</f>
        <v>Consultório 03 c/ sanit. Anexo</v>
      </c>
      <c r="E198" s="253">
        <f>1.56+1.56</f>
        <v>3.12</v>
      </c>
      <c r="F198" s="241">
        <v>1.3</v>
      </c>
      <c r="G198" s="241">
        <f>G156</f>
        <v>11.1</v>
      </c>
      <c r="H198" s="241">
        <f t="shared" si="7"/>
        <v>11.309999999999999</v>
      </c>
      <c r="I198" s="549"/>
      <c r="J198" s="549"/>
      <c r="K198" s="549"/>
      <c r="L198" s="237"/>
    </row>
    <row r="199" spans="1:17" s="179" customFormat="1" ht="15" customHeight="1" x14ac:dyDescent="0.2">
      <c r="A199" s="227"/>
      <c r="B199" s="180"/>
      <c r="C199" s="547"/>
      <c r="D199" s="253" t="s">
        <v>284</v>
      </c>
      <c r="E199" s="253">
        <v>1.17</v>
      </c>
      <c r="F199" s="241">
        <v>1.3</v>
      </c>
      <c r="G199" s="264">
        <f>G151</f>
        <v>10.7</v>
      </c>
      <c r="H199" s="241">
        <f t="shared" si="7"/>
        <v>12.74</v>
      </c>
      <c r="I199" s="549"/>
      <c r="J199" s="549"/>
      <c r="K199" s="549"/>
      <c r="L199" s="237"/>
    </row>
    <row r="200" spans="1:17" s="179" customFormat="1" ht="12.75" customHeight="1" x14ac:dyDescent="0.25">
      <c r="A200" s="227"/>
      <c r="B200" s="180"/>
      <c r="C200" s="547"/>
      <c r="D200" s="526"/>
      <c r="E200" s="523"/>
      <c r="F200" s="523"/>
      <c r="G200" s="251" t="s">
        <v>38</v>
      </c>
      <c r="H200" s="251">
        <f>SUM(H191:H199)</f>
        <v>143.02000000000001</v>
      </c>
      <c r="I200" s="546"/>
      <c r="J200" s="530"/>
      <c r="K200" s="530"/>
      <c r="L200" s="586"/>
    </row>
    <row r="201" spans="1:17" s="179" customFormat="1" ht="15" x14ac:dyDescent="0.25">
      <c r="A201" s="227"/>
      <c r="B201" s="180"/>
      <c r="C201" s="547"/>
      <c r="D201" s="526"/>
      <c r="E201" s="526"/>
      <c r="F201" s="526"/>
      <c r="G201" s="526"/>
      <c r="H201" s="526"/>
      <c r="I201" s="526"/>
      <c r="J201" s="526"/>
      <c r="K201" s="526"/>
      <c r="L201" s="589"/>
      <c r="Q201" s="179">
        <f>SUM(Q190:Q191)</f>
        <v>48</v>
      </c>
    </row>
    <row r="202" spans="1:17" s="179" customFormat="1" ht="51.6" customHeight="1" x14ac:dyDescent="0.2">
      <c r="A202" s="227"/>
      <c r="B202" s="229" t="s">
        <v>88</v>
      </c>
      <c r="C202" s="170" t="str">
        <f>PLANILHA!$B$32</f>
        <v>17.017.0010-A</v>
      </c>
      <c r="D202" s="372" t="str">
        <f>PLANILHA!$C$32</f>
        <v>PREPARO DE SUPERFICIES NOVAS,COM REVESTIMENTO LISO,INCLUSIVE LIXAMENTO,LIMPEZA,UMA DEMAO DE SELADOR ACRILICO,UMA DEMAO DE MASSA CORRIDA OU ACRILICA E NOVO LIXAMENTO COM REMOCAO DO PO RESIDUAL 3%-DESGASTE DE FERRAMENTAS E EPI</v>
      </c>
      <c r="E202" s="373"/>
      <c r="F202" s="373"/>
      <c r="G202" s="373"/>
      <c r="H202" s="373"/>
      <c r="I202" s="373"/>
      <c r="J202" s="373"/>
      <c r="K202" s="373"/>
      <c r="L202" s="374"/>
    </row>
    <row r="203" spans="1:17" s="179" customFormat="1" ht="14.25" customHeight="1" x14ac:dyDescent="0.2">
      <c r="A203" s="227"/>
      <c r="B203" s="231"/>
      <c r="C203" s="532"/>
      <c r="D203" s="545"/>
      <c r="E203" s="562"/>
      <c r="F203" s="562"/>
      <c r="G203" s="562"/>
      <c r="H203" s="562"/>
      <c r="I203" s="562"/>
      <c r="J203" s="562"/>
      <c r="K203" s="562"/>
      <c r="L203" s="256"/>
    </row>
    <row r="204" spans="1:17" s="179" customFormat="1" ht="18.75" customHeight="1" x14ac:dyDescent="0.25">
      <c r="A204" s="227"/>
      <c r="B204" s="231"/>
      <c r="C204" s="532"/>
      <c r="D204" s="545"/>
      <c r="E204" s="526"/>
      <c r="F204" s="526"/>
      <c r="G204" s="209" t="s">
        <v>330</v>
      </c>
      <c r="H204" s="189" t="s">
        <v>25</v>
      </c>
      <c r="I204" s="368" t="s">
        <v>255</v>
      </c>
      <c r="J204" s="527"/>
      <c r="K204" s="527"/>
      <c r="L204" s="369"/>
    </row>
    <row r="205" spans="1:17" s="179" customFormat="1" ht="12" customHeight="1" x14ac:dyDescent="0.25">
      <c r="A205" s="227"/>
      <c r="B205" s="231"/>
      <c r="C205" s="532"/>
      <c r="D205" s="545"/>
      <c r="E205" s="526"/>
      <c r="F205" s="526"/>
      <c r="G205" s="241">
        <f>H232</f>
        <v>27.791999999999998</v>
      </c>
      <c r="H205" s="241">
        <f>G205</f>
        <v>27.791999999999998</v>
      </c>
      <c r="I205" s="356" t="s">
        <v>331</v>
      </c>
      <c r="J205" s="522"/>
      <c r="K205" s="522"/>
      <c r="L205" s="357"/>
    </row>
    <row r="206" spans="1:17" s="179" customFormat="1" ht="10.5" customHeight="1" x14ac:dyDescent="0.2">
      <c r="A206" s="227"/>
      <c r="B206" s="231"/>
      <c r="C206" s="532"/>
      <c r="D206" s="545"/>
      <c r="E206" s="523"/>
      <c r="F206" s="523"/>
      <c r="G206" s="192" t="s">
        <v>38</v>
      </c>
      <c r="H206" s="192">
        <f>H205</f>
        <v>27.791999999999998</v>
      </c>
      <c r="I206" s="546"/>
      <c r="J206" s="546"/>
      <c r="K206" s="546"/>
      <c r="L206" s="234"/>
    </row>
    <row r="207" spans="1:17" s="179" customFormat="1" ht="10.5" customHeight="1" x14ac:dyDescent="0.2">
      <c r="A207" s="227"/>
      <c r="B207" s="231"/>
      <c r="C207" s="532"/>
      <c r="D207" s="545"/>
      <c r="E207" s="523"/>
      <c r="F207" s="523"/>
      <c r="G207" s="505"/>
      <c r="H207" s="505"/>
      <c r="I207" s="546"/>
      <c r="J207" s="546"/>
      <c r="K207" s="546"/>
      <c r="L207" s="234"/>
    </row>
    <row r="208" spans="1:17" s="179" customFormat="1" ht="45.75" customHeight="1" x14ac:dyDescent="0.2">
      <c r="A208" s="227"/>
      <c r="B208" s="229" t="str">
        <f>PLANILHA!$A$33</f>
        <v>4.4</v>
      </c>
      <c r="C208" s="170" t="str">
        <f>PLANILHA!$B$33</f>
        <v>17.018.0185-A</v>
      </c>
      <c r="D208" s="372" t="str">
        <f>PLANILHA!$C$33</f>
        <v>TEXTURA ACRILICA NA COR BRANCA,ACABAMENTO FOSCO,PARA INTERIOR OU EXTERIOR,APLICADAS EM DUAS DEMAOS SOBRE CONCRETO,ALVENARIA,BLOCO DE CONCRETO,CIMENTO SEM AMIANTO OU REVESTIMENTO 3%-DESGASTE DE FERRAMENTAS E EPI</v>
      </c>
      <c r="E208" s="373"/>
      <c r="F208" s="373"/>
      <c r="G208" s="373"/>
      <c r="H208" s="373"/>
      <c r="I208" s="373"/>
      <c r="J208" s="373"/>
      <c r="K208" s="373"/>
      <c r="L208" s="374"/>
    </row>
    <row r="209" spans="1:12" s="179" customFormat="1" ht="15" customHeight="1" x14ac:dyDescent="0.2">
      <c r="A209" s="227"/>
      <c r="B209" s="231"/>
      <c r="C209" s="532"/>
      <c r="D209" s="545"/>
      <c r="E209" s="562"/>
      <c r="F209" s="562"/>
      <c r="G209" s="562"/>
      <c r="H209" s="562"/>
      <c r="I209" s="562"/>
      <c r="J209" s="562"/>
      <c r="K209" s="562"/>
      <c r="L209" s="256"/>
    </row>
    <row r="210" spans="1:12" s="179" customFormat="1" ht="17.25" customHeight="1" x14ac:dyDescent="0.2">
      <c r="A210" s="227"/>
      <c r="B210" s="231"/>
      <c r="C210" s="532"/>
      <c r="D210" s="545"/>
      <c r="E210" s="252" t="s">
        <v>258</v>
      </c>
      <c r="F210" s="209" t="s">
        <v>259</v>
      </c>
      <c r="G210" s="209" t="s">
        <v>311</v>
      </c>
      <c r="H210" s="189" t="s">
        <v>25</v>
      </c>
      <c r="I210" s="368" t="s">
        <v>255</v>
      </c>
      <c r="J210" s="527"/>
      <c r="K210" s="527"/>
      <c r="L210" s="369"/>
    </row>
    <row r="211" spans="1:12" s="179" customFormat="1" ht="15" customHeight="1" x14ac:dyDescent="0.2">
      <c r="A211" s="227"/>
      <c r="B211" s="231"/>
      <c r="C211" s="532"/>
      <c r="D211" s="545"/>
      <c r="E211" s="235" t="s">
        <v>332</v>
      </c>
      <c r="F211" s="241">
        <v>4.5</v>
      </c>
      <c r="G211" s="241">
        <f>H390</f>
        <v>87.45</v>
      </c>
      <c r="H211" s="241">
        <f>F211*G211</f>
        <v>393.52500000000003</v>
      </c>
      <c r="I211" s="389" t="s">
        <v>333</v>
      </c>
      <c r="J211" s="548"/>
      <c r="K211" s="548"/>
      <c r="L211" s="378"/>
    </row>
    <row r="212" spans="1:12" s="179" customFormat="1" ht="15" customHeight="1" x14ac:dyDescent="0.2">
      <c r="A212" s="227"/>
      <c r="B212" s="231"/>
      <c r="C212" s="532"/>
      <c r="D212" s="545"/>
      <c r="E212" s="235" t="s">
        <v>334</v>
      </c>
      <c r="F212" s="241">
        <v>3.3</v>
      </c>
      <c r="G212" s="241">
        <v>32.57</v>
      </c>
      <c r="H212" s="241">
        <f t="shared" ref="H212:H214" si="8">F212*G212</f>
        <v>107.48099999999999</v>
      </c>
      <c r="I212" s="549"/>
      <c r="J212" s="549"/>
      <c r="K212" s="549"/>
      <c r="L212" s="237"/>
    </row>
    <row r="213" spans="1:12" s="179" customFormat="1" ht="15" customHeight="1" x14ac:dyDescent="0.2">
      <c r="A213" s="227"/>
      <c r="B213" s="231"/>
      <c r="C213" s="532"/>
      <c r="D213" s="545"/>
      <c r="E213" s="235" t="s">
        <v>335</v>
      </c>
      <c r="F213" s="241">
        <v>2</v>
      </c>
      <c r="G213" s="241">
        <v>31</v>
      </c>
      <c r="H213" s="241">
        <f t="shared" si="8"/>
        <v>62</v>
      </c>
      <c r="I213" s="549"/>
      <c r="J213" s="549"/>
      <c r="K213" s="549"/>
      <c r="L213" s="237"/>
    </row>
    <row r="214" spans="1:12" s="179" customFormat="1" ht="15" customHeight="1" x14ac:dyDescent="0.2">
      <c r="A214" s="227"/>
      <c r="B214" s="231"/>
      <c r="C214" s="532"/>
      <c r="D214" s="545"/>
      <c r="E214" s="235" t="s">
        <v>336</v>
      </c>
      <c r="F214" s="241">
        <v>0.5</v>
      </c>
      <c r="G214" s="241">
        <v>23</v>
      </c>
      <c r="H214" s="241">
        <f t="shared" si="8"/>
        <v>11.5</v>
      </c>
      <c r="I214" s="549"/>
      <c r="J214" s="549"/>
      <c r="K214" s="549" t="s">
        <v>337</v>
      </c>
      <c r="L214" s="237"/>
    </row>
    <row r="215" spans="1:12" s="179" customFormat="1" ht="15" customHeight="1" x14ac:dyDescent="0.2">
      <c r="A215" s="227"/>
      <c r="B215" s="231"/>
      <c r="C215" s="532"/>
      <c r="D215" s="545"/>
      <c r="E215" s="523"/>
      <c r="F215" s="523"/>
      <c r="G215" s="192" t="s">
        <v>38</v>
      </c>
      <c r="H215" s="192">
        <f>SUM(H211:H213)</f>
        <v>563.00600000000009</v>
      </c>
      <c r="I215" s="546"/>
      <c r="J215" s="546"/>
      <c r="K215" s="546"/>
      <c r="L215" s="234"/>
    </row>
    <row r="216" spans="1:12" s="179" customFormat="1" ht="15" customHeight="1" x14ac:dyDescent="0.2">
      <c r="A216" s="227"/>
      <c r="B216" s="231"/>
      <c r="C216" s="532"/>
      <c r="D216" s="545"/>
      <c r="E216" s="523"/>
      <c r="F216" s="523"/>
      <c r="G216" s="505"/>
      <c r="H216" s="505"/>
      <c r="I216" s="546"/>
      <c r="J216" s="546"/>
      <c r="K216" s="546"/>
      <c r="L216" s="234"/>
    </row>
    <row r="217" spans="1:12" s="179" customFormat="1" ht="39" customHeight="1" x14ac:dyDescent="0.2">
      <c r="A217" s="227"/>
      <c r="B217" s="229" t="str">
        <f>PLANILHA!$A$34</f>
        <v>4.5</v>
      </c>
      <c r="C217" s="196" t="str">
        <f>PLANILHA!$B$34</f>
        <v>00520</v>
      </c>
      <c r="D217" s="372" t="str">
        <f>PLANILHA!$C$34</f>
        <v>IMPERMEABILIZANTE DE PEGA NORMAL, EM LATAS DE 18KG</v>
      </c>
      <c r="E217" s="373"/>
      <c r="F217" s="373"/>
      <c r="G217" s="373"/>
      <c r="H217" s="373"/>
      <c r="I217" s="373"/>
      <c r="J217" s="373"/>
      <c r="K217" s="373"/>
      <c r="L217" s="374"/>
    </row>
    <row r="218" spans="1:12" s="179" customFormat="1" ht="12" customHeight="1" x14ac:dyDescent="0.2">
      <c r="A218" s="227"/>
      <c r="B218" s="231"/>
      <c r="C218" s="532"/>
      <c r="D218" s="545"/>
      <c r="E218" s="562"/>
      <c r="F218" s="562"/>
      <c r="G218" s="562"/>
      <c r="H218" s="562"/>
      <c r="I218" s="562"/>
      <c r="J218" s="562"/>
      <c r="K218" s="562"/>
      <c r="L218" s="256"/>
    </row>
    <row r="219" spans="1:12" s="179" customFormat="1" ht="19.5" customHeight="1" x14ac:dyDescent="0.25">
      <c r="A219" s="227"/>
      <c r="B219" s="590"/>
      <c r="C219" s="526"/>
      <c r="D219" s="406" t="s">
        <v>338</v>
      </c>
      <c r="E219" s="407"/>
      <c r="F219" s="276" t="s">
        <v>339</v>
      </c>
      <c r="G219" s="200" t="s">
        <v>43</v>
      </c>
      <c r="H219" s="530"/>
      <c r="I219" s="527" t="s">
        <v>255</v>
      </c>
      <c r="J219" s="527"/>
      <c r="K219" s="527"/>
      <c r="L219" s="369"/>
    </row>
    <row r="220" spans="1:12" s="179" customFormat="1" ht="12.75" customHeight="1" x14ac:dyDescent="0.25">
      <c r="A220" s="227"/>
      <c r="B220" s="590"/>
      <c r="C220" s="526"/>
      <c r="D220" s="408">
        <v>0.5</v>
      </c>
      <c r="E220" s="409"/>
      <c r="F220" s="241">
        <f>H232</f>
        <v>27.791999999999998</v>
      </c>
      <c r="G220" s="278">
        <f>F220*D220</f>
        <v>13.895999999999999</v>
      </c>
      <c r="H220" s="530"/>
      <c r="I220" s="548" t="s">
        <v>340</v>
      </c>
      <c r="J220" s="548"/>
      <c r="K220" s="548"/>
      <c r="L220" s="378"/>
    </row>
    <row r="221" spans="1:12" s="179" customFormat="1" ht="11.25" customHeight="1" x14ac:dyDescent="0.25">
      <c r="A221" s="227"/>
      <c r="B221" s="590"/>
      <c r="C221" s="526"/>
      <c r="D221" s="545"/>
      <c r="E221" s="551"/>
      <c r="F221" s="192" t="s">
        <v>38</v>
      </c>
      <c r="G221" s="192">
        <f>SUM(G219:G220)</f>
        <v>13.895999999999999</v>
      </c>
      <c r="H221" s="530"/>
      <c r="I221" s="548"/>
      <c r="J221" s="548"/>
      <c r="K221" s="548"/>
      <c r="L221" s="378"/>
    </row>
    <row r="222" spans="1:12" s="179" customFormat="1" ht="13.5" customHeight="1" x14ac:dyDescent="0.2">
      <c r="A222" s="227"/>
      <c r="B222" s="231"/>
      <c r="C222" s="532"/>
      <c r="D222" s="545"/>
      <c r="E222" s="562"/>
      <c r="F222" s="562"/>
      <c r="G222" s="562"/>
      <c r="H222" s="562"/>
      <c r="I222" s="562"/>
      <c r="J222" s="562"/>
      <c r="K222" s="562"/>
      <c r="L222" s="256"/>
    </row>
    <row r="223" spans="1:12" s="179" customFormat="1" ht="51.6" customHeight="1" x14ac:dyDescent="0.2">
      <c r="A223" s="310"/>
      <c r="B223" s="229" t="str">
        <f>PLANILHA!$A$35</f>
        <v>4.6</v>
      </c>
      <c r="C223" s="196" t="str">
        <f>PLANILHA!$B$35</f>
        <v>13.002.0017-0</v>
      </c>
      <c r="D223" s="372" t="str">
        <f>PLANILHA!$C$35</f>
        <v>EMBOCO INTERNO COM ARGAMASSA DE CIMENTO E SAIBRO,NO TRACO 1:6,COM 2,5CM DE ESPESSURA,INCLUSIVE CHAPISCO DE CIMENTO E AREIA,NO TRACO 1:3</v>
      </c>
      <c r="E223" s="373"/>
      <c r="F223" s="373"/>
      <c r="G223" s="373"/>
      <c r="H223" s="373"/>
      <c r="I223" s="373"/>
      <c r="J223" s="373"/>
      <c r="K223" s="373"/>
      <c r="L223" s="374"/>
    </row>
    <row r="224" spans="1:12" s="179" customFormat="1" ht="15" customHeight="1" x14ac:dyDescent="0.2">
      <c r="A224" s="310"/>
      <c r="B224" s="231"/>
      <c r="C224" s="532"/>
      <c r="D224" s="545"/>
      <c r="E224" s="562"/>
      <c r="F224" s="562"/>
      <c r="G224" s="562"/>
      <c r="H224" s="562"/>
      <c r="I224" s="562"/>
      <c r="J224" s="562"/>
      <c r="K224" s="562"/>
      <c r="L224" s="256"/>
    </row>
    <row r="225" spans="1:12" s="179" customFormat="1" ht="12" customHeight="1" x14ac:dyDescent="0.2">
      <c r="A225" s="310"/>
      <c r="B225" s="231"/>
      <c r="C225" s="230" t="s">
        <v>272</v>
      </c>
      <c r="D225" s="375" t="s">
        <v>258</v>
      </c>
      <c r="E225" s="375"/>
      <c r="F225" s="209" t="s">
        <v>259</v>
      </c>
      <c r="G225" s="209" t="s">
        <v>252</v>
      </c>
      <c r="H225" s="189" t="s">
        <v>25</v>
      </c>
      <c r="I225" s="368" t="s">
        <v>255</v>
      </c>
      <c r="J225" s="527"/>
      <c r="K225" s="527"/>
      <c r="L225" s="369"/>
    </row>
    <row r="226" spans="1:12" s="179" customFormat="1" ht="19.5" customHeight="1" x14ac:dyDescent="0.2">
      <c r="A226" s="310"/>
      <c r="B226" s="231"/>
      <c r="C226" s="230" t="str">
        <f>D191</f>
        <v>Consultório indiferenciado 01</v>
      </c>
      <c r="D226" s="384" t="s">
        <v>341</v>
      </c>
      <c r="E226" s="384"/>
      <c r="F226" s="241">
        <v>0.8</v>
      </c>
      <c r="G226" s="241">
        <f>3.55+3.08+2.18</f>
        <v>8.81</v>
      </c>
      <c r="H226" s="241">
        <f t="shared" ref="H226:H231" si="9">F226*G226</f>
        <v>7.0480000000000009</v>
      </c>
      <c r="I226" s="389"/>
      <c r="J226" s="548"/>
      <c r="K226" s="548"/>
      <c r="L226" s="378"/>
    </row>
    <row r="227" spans="1:12" s="179" customFormat="1" ht="12.75" customHeight="1" x14ac:dyDescent="0.2">
      <c r="A227" s="310"/>
      <c r="B227" s="231"/>
      <c r="C227" s="230" t="s">
        <v>316</v>
      </c>
      <c r="D227" s="384" t="s">
        <v>341</v>
      </c>
      <c r="E227" s="384"/>
      <c r="F227" s="241">
        <v>0.8</v>
      </c>
      <c r="G227" s="279">
        <v>3.98</v>
      </c>
      <c r="H227" s="241">
        <f t="shared" si="9"/>
        <v>3.1840000000000002</v>
      </c>
      <c r="I227" s="385"/>
      <c r="J227" s="524"/>
      <c r="K227" s="524"/>
      <c r="L227" s="370"/>
    </row>
    <row r="228" spans="1:12" s="179" customFormat="1" ht="12.75" customHeight="1" x14ac:dyDescent="0.2">
      <c r="A228" s="310"/>
      <c r="B228" s="231"/>
      <c r="C228" s="230" t="str">
        <f>D193</f>
        <v>Recepção</v>
      </c>
      <c r="D228" s="384" t="s">
        <v>341</v>
      </c>
      <c r="E228" s="384"/>
      <c r="F228" s="241">
        <v>0.8</v>
      </c>
      <c r="G228" s="279">
        <v>3.53</v>
      </c>
      <c r="H228" s="241">
        <f t="shared" si="9"/>
        <v>2.8239999999999998</v>
      </c>
      <c r="I228" s="521"/>
      <c r="J228" s="521"/>
      <c r="K228" s="521"/>
      <c r="L228" s="194"/>
    </row>
    <row r="229" spans="1:12" s="179" customFormat="1" ht="12.75" customHeight="1" x14ac:dyDescent="0.2">
      <c r="A229" s="310"/>
      <c r="B229" s="231"/>
      <c r="C229" s="230" t="str">
        <f>D195</f>
        <v>Sala de fisioterapia</v>
      </c>
      <c r="D229" s="384" t="s">
        <v>341</v>
      </c>
      <c r="E229" s="384"/>
      <c r="F229" s="241">
        <v>0.8</v>
      </c>
      <c r="G229" s="279">
        <f>2*5.92</f>
        <v>11.84</v>
      </c>
      <c r="H229" s="241">
        <f t="shared" si="9"/>
        <v>9.4719999999999995</v>
      </c>
      <c r="I229" s="521"/>
      <c r="J229" s="521"/>
      <c r="K229" s="521"/>
      <c r="L229" s="194"/>
    </row>
    <row r="230" spans="1:12" s="179" customFormat="1" ht="12.75" customHeight="1" x14ac:dyDescent="0.2">
      <c r="A230" s="310"/>
      <c r="B230" s="231"/>
      <c r="C230" s="230" t="str">
        <f>D196</f>
        <v>Consultório c/ sanit. anexo</v>
      </c>
      <c r="D230" s="384" t="s">
        <v>341</v>
      </c>
      <c r="E230" s="384"/>
      <c r="F230" s="241">
        <v>0.8</v>
      </c>
      <c r="G230" s="280">
        <v>3</v>
      </c>
      <c r="H230" s="241">
        <f t="shared" si="9"/>
        <v>2.4000000000000004</v>
      </c>
      <c r="I230" s="521"/>
      <c r="J230" s="521"/>
      <c r="K230" s="521"/>
      <c r="L230" s="194"/>
    </row>
    <row r="231" spans="1:12" s="179" customFormat="1" ht="12.75" customHeight="1" x14ac:dyDescent="0.2">
      <c r="A231" s="310"/>
      <c r="B231" s="231"/>
      <c r="C231" s="230" t="str">
        <f>D197</f>
        <v>Sala de atividades coletivas/ACS</v>
      </c>
      <c r="D231" s="384" t="s">
        <v>341</v>
      </c>
      <c r="E231" s="384"/>
      <c r="F231" s="241">
        <v>0.8</v>
      </c>
      <c r="G231" s="280">
        <v>3.58</v>
      </c>
      <c r="H231" s="264">
        <f t="shared" si="9"/>
        <v>2.8640000000000003</v>
      </c>
      <c r="I231" s="521"/>
      <c r="J231" s="521"/>
      <c r="K231" s="521"/>
      <c r="L231" s="194"/>
    </row>
    <row r="232" spans="1:12" s="179" customFormat="1" ht="16.5" customHeight="1" x14ac:dyDescent="0.2">
      <c r="A232" s="310"/>
      <c r="B232" s="231"/>
      <c r="C232" s="532"/>
      <c r="D232" s="545"/>
      <c r="E232" s="523"/>
      <c r="F232" s="523"/>
      <c r="G232" s="251" t="s">
        <v>38</v>
      </c>
      <c r="H232" s="251">
        <f>SUM(H226:H231)</f>
        <v>27.791999999999998</v>
      </c>
      <c r="I232" s="546"/>
      <c r="J232" s="546"/>
      <c r="K232" s="546"/>
      <c r="L232" s="234"/>
    </row>
    <row r="233" spans="1:12" s="179" customFormat="1" ht="15" customHeight="1" x14ac:dyDescent="0.2">
      <c r="A233" s="310"/>
      <c r="B233" s="231"/>
      <c r="C233" s="532"/>
      <c r="D233" s="545"/>
      <c r="E233" s="562"/>
      <c r="F233" s="562"/>
      <c r="G233" s="562"/>
      <c r="H233" s="562"/>
      <c r="I233" s="562"/>
      <c r="J233" s="562"/>
      <c r="K233" s="562"/>
      <c r="L233" s="256"/>
    </row>
    <row r="234" spans="1:12" s="179" customFormat="1" ht="51.6" customHeight="1" x14ac:dyDescent="0.2">
      <c r="A234" s="311"/>
      <c r="B234" s="229" t="str">
        <f>PLANILHA!$A$36</f>
        <v>4.7</v>
      </c>
      <c r="C234" s="196" t="str">
        <f>PLANILHA!$B$36</f>
        <v>13.026.0010-A</v>
      </c>
      <c r="D234" s="372" t="str">
        <f>PLANILHA!$C$36</f>
        <v>REVESTIMENTO DE PAREDES COM AZULEJO BRANCO 15X15CM,QUALIDADE EXTRA,ASSENTES COM NATA DE CIMENTO COMUM,TENDO JUNTAS CORRIDAS COM 2MM,REJUNTADAS COM PASTA DE CIMENTO BRANCO,INCLUSIVE CHAPISCO DE CIMENTO E AREIA,NO TRACO 1:3 E EMBOCO COM ARGAMASSA DE CIMENTO,SAIBRO E AREIA,NO TRACO 1:3:3 COM ESPESSURA DE 2,5CM 3%-DESGASTE DE FERRAMENTAS E EPI</v>
      </c>
      <c r="E234" s="373"/>
      <c r="F234" s="373"/>
      <c r="G234" s="373"/>
      <c r="H234" s="373"/>
      <c r="I234" s="373"/>
      <c r="J234" s="373"/>
      <c r="K234" s="373"/>
      <c r="L234" s="374"/>
    </row>
    <row r="235" spans="1:12" s="179" customFormat="1" ht="15.75" customHeight="1" x14ac:dyDescent="0.2">
      <c r="A235" s="311"/>
      <c r="B235" s="231"/>
      <c r="C235" s="532"/>
      <c r="D235" s="545"/>
      <c r="E235" s="562"/>
      <c r="F235" s="562"/>
      <c r="G235" s="562"/>
      <c r="H235" s="562"/>
      <c r="I235" s="562"/>
      <c r="J235" s="562"/>
      <c r="K235" s="562"/>
      <c r="L235" s="256"/>
    </row>
    <row r="236" spans="1:12" s="179" customFormat="1" ht="15.75" customHeight="1" x14ac:dyDescent="0.2">
      <c r="A236" s="311"/>
      <c r="B236" s="231"/>
      <c r="C236" s="532"/>
      <c r="D236" s="545"/>
      <c r="E236" s="252" t="s">
        <v>272</v>
      </c>
      <c r="F236" s="209" t="s">
        <v>259</v>
      </c>
      <c r="G236" s="209" t="s">
        <v>252</v>
      </c>
      <c r="H236" s="189" t="s">
        <v>25</v>
      </c>
      <c r="I236" s="368" t="s">
        <v>255</v>
      </c>
      <c r="J236" s="527"/>
      <c r="K236" s="527"/>
      <c r="L236" s="369"/>
    </row>
    <row r="237" spans="1:12" s="179" customFormat="1" ht="15.75" customHeight="1" x14ac:dyDescent="0.2">
      <c r="A237" s="311"/>
      <c r="B237" s="231"/>
      <c r="C237" s="532"/>
      <c r="D237" s="545"/>
      <c r="E237" s="235" t="str">
        <f>C231</f>
        <v>Sala de atividades coletivas/ACS</v>
      </c>
      <c r="F237" s="241">
        <v>1.2</v>
      </c>
      <c r="G237" s="241">
        <v>1.5</v>
      </c>
      <c r="H237" s="241">
        <f>F237*G237</f>
        <v>1.7999999999999998</v>
      </c>
      <c r="I237" s="389" t="s">
        <v>342</v>
      </c>
      <c r="J237" s="548"/>
      <c r="K237" s="548"/>
      <c r="L237" s="378"/>
    </row>
    <row r="238" spans="1:12" s="179" customFormat="1" ht="18.75" customHeight="1" x14ac:dyDescent="0.2">
      <c r="A238" s="311"/>
      <c r="B238" s="231"/>
      <c r="C238" s="532"/>
      <c r="D238" s="545"/>
      <c r="E238" s="238"/>
      <c r="F238" s="241"/>
      <c r="G238" s="241"/>
      <c r="H238" s="241"/>
      <c r="I238" s="385"/>
      <c r="J238" s="524"/>
      <c r="K238" s="524"/>
      <c r="L238" s="370"/>
    </row>
    <row r="239" spans="1:12" s="179" customFormat="1" ht="18" customHeight="1" x14ac:dyDescent="0.2">
      <c r="A239" s="311"/>
      <c r="B239" s="231"/>
      <c r="C239" s="532"/>
      <c r="D239" s="545"/>
      <c r="E239" s="523"/>
      <c r="F239" s="523"/>
      <c r="G239" s="192" t="s">
        <v>38</v>
      </c>
      <c r="H239" s="192">
        <f>SUM(H237,H238)</f>
        <v>1.7999999999999998</v>
      </c>
      <c r="I239" s="546"/>
      <c r="J239" s="546"/>
      <c r="K239" s="546"/>
      <c r="L239" s="234"/>
    </row>
    <row r="240" spans="1:12" s="179" customFormat="1" ht="15" customHeight="1" x14ac:dyDescent="0.2">
      <c r="A240" s="311"/>
      <c r="B240" s="231"/>
      <c r="C240" s="532"/>
      <c r="D240" s="545"/>
      <c r="E240" s="562"/>
      <c r="F240" s="562"/>
      <c r="G240" s="562"/>
      <c r="H240" s="562"/>
      <c r="I240" s="562"/>
      <c r="J240" s="562"/>
      <c r="K240" s="562"/>
      <c r="L240" s="256"/>
    </row>
    <row r="241" spans="1:12" s="179" customFormat="1" ht="51.6" customHeight="1" x14ac:dyDescent="0.2">
      <c r="A241" s="311"/>
      <c r="B241" s="229" t="str">
        <f>PLANILHA!$A$37</f>
        <v>4.8</v>
      </c>
      <c r="C241" s="196" t="str">
        <f>PLANILHA!$B$37</f>
        <v>13.022.0020-A</v>
      </c>
      <c r="D241" s="372" t="str">
        <f>PLANILHA!$C$37</f>
        <v>REVESTIMENTO COM PASTILHAS CERAMICAS,COM MEDIDAS EM TORNO DE(2,5X2,5)CM,PLACAS DE (30X30)CM,CORES ECONOMICAS (BRANCO,BEGE,CINZA,AZUL,VERDE,MARROM E PRETO),INCLUSIVE CHAPISCO DE CIMENTO E AREIA,NO TRACO 1:3 E EMBOCO COM ARGAMASSA DE CIMENTO,SAIBRO E AREIA,NO TRACO 1:3:3,ASSENTES E REJUNTADAS COM PASTA DE CIMENTO BRANCO3%-DESGASTE DE FERRAMENTAS E EPI</v>
      </c>
      <c r="E241" s="373"/>
      <c r="F241" s="373"/>
      <c r="G241" s="373"/>
      <c r="H241" s="373"/>
      <c r="I241" s="373"/>
      <c r="J241" s="373"/>
      <c r="K241" s="373"/>
      <c r="L241" s="374"/>
    </row>
    <row r="242" spans="1:12" s="179" customFormat="1" ht="18.75" customHeight="1" x14ac:dyDescent="0.2">
      <c r="A242" s="311"/>
      <c r="B242" s="231"/>
      <c r="C242" s="532"/>
      <c r="D242" s="545"/>
      <c r="E242" s="562"/>
      <c r="F242" s="562"/>
      <c r="G242" s="562"/>
      <c r="H242" s="562"/>
      <c r="I242" s="562"/>
      <c r="J242" s="562"/>
      <c r="K242" s="562"/>
      <c r="L242" s="256"/>
    </row>
    <row r="243" spans="1:12" s="179" customFormat="1" ht="16.5" customHeight="1" x14ac:dyDescent="0.25">
      <c r="A243" s="311"/>
      <c r="B243" s="231"/>
      <c r="C243" s="532"/>
      <c r="D243" s="545"/>
      <c r="E243" s="530"/>
      <c r="F243" s="526"/>
      <c r="G243" s="252" t="s">
        <v>272</v>
      </c>
      <c r="H243" s="189" t="s">
        <v>25</v>
      </c>
      <c r="I243" s="368" t="s">
        <v>255</v>
      </c>
      <c r="J243" s="527"/>
      <c r="K243" s="527"/>
      <c r="L243" s="369"/>
    </row>
    <row r="244" spans="1:12" s="179" customFormat="1" ht="15" customHeight="1" x14ac:dyDescent="0.25">
      <c r="A244" s="311"/>
      <c r="B244" s="231"/>
      <c r="C244" s="532"/>
      <c r="D244" s="545"/>
      <c r="E244" s="530"/>
      <c r="F244" s="526"/>
      <c r="G244" s="235" t="str">
        <f>C230</f>
        <v>Consultório c/ sanit. anexo</v>
      </c>
      <c r="H244" s="241">
        <v>1</v>
      </c>
      <c r="I244" s="389" t="s">
        <v>342</v>
      </c>
      <c r="J244" s="548"/>
      <c r="K244" s="548"/>
      <c r="L244" s="378"/>
    </row>
    <row r="245" spans="1:12" s="179" customFormat="1" x14ac:dyDescent="0.2">
      <c r="A245" s="311"/>
      <c r="B245" s="231"/>
      <c r="C245" s="532"/>
      <c r="D245" s="545"/>
      <c r="E245" s="523"/>
      <c r="F245" s="523"/>
      <c r="G245" s="192" t="s">
        <v>38</v>
      </c>
      <c r="H245" s="192">
        <f>SUM(H244:H244)</f>
        <v>1</v>
      </c>
      <c r="I245" s="546"/>
      <c r="J245" s="546"/>
      <c r="K245" s="546"/>
      <c r="L245" s="234"/>
    </row>
    <row r="246" spans="1:12" s="179" customFormat="1" ht="12.75" customHeight="1" x14ac:dyDescent="0.25">
      <c r="A246" s="227"/>
      <c r="B246" s="180"/>
      <c r="C246" s="526"/>
      <c r="D246" s="526"/>
      <c r="E246" s="526"/>
      <c r="F246" s="526"/>
      <c r="G246" s="526"/>
      <c r="H246" s="526"/>
      <c r="I246" s="526"/>
      <c r="J246" s="526"/>
      <c r="K246" s="526"/>
      <c r="L246" s="589"/>
    </row>
    <row r="247" spans="1:12" s="179" customFormat="1" ht="35.25" customHeight="1" x14ac:dyDescent="0.2">
      <c r="A247" s="227"/>
      <c r="B247" s="229" t="str">
        <f>PLANILHA!$A$38</f>
        <v>4.9</v>
      </c>
      <c r="C247" s="196" t="str">
        <f>PLANILHA!$B$38</f>
        <v>11.013.0006-A</v>
      </c>
      <c r="D247" s="372" t="str">
        <f>PLANILHA!$C$38</f>
        <v>ESPELHO OU CHAPIM EM GRANITO CINZA ANDORINHA,20X2CM,POLIDO,ASSENTADO COMO NO ITEM 13.348.0010 3%-DESGASTE DE FERRAMENTAS E EPI</v>
      </c>
      <c r="E247" s="373"/>
      <c r="F247" s="373"/>
      <c r="G247" s="373"/>
      <c r="H247" s="373"/>
      <c r="I247" s="373"/>
      <c r="J247" s="373"/>
      <c r="K247" s="373"/>
      <c r="L247" s="374"/>
    </row>
    <row r="248" spans="1:12" s="179" customFormat="1" ht="13.15" customHeight="1" x14ac:dyDescent="0.2">
      <c r="A248" s="227"/>
      <c r="B248" s="231"/>
      <c r="C248" s="532"/>
      <c r="D248" s="545"/>
      <c r="E248" s="562"/>
      <c r="F248" s="562"/>
      <c r="G248" s="562"/>
      <c r="H248" s="562"/>
      <c r="I248" s="562"/>
      <c r="J248" s="562"/>
      <c r="K248" s="562"/>
      <c r="L248" s="256"/>
    </row>
    <row r="249" spans="1:12" s="179" customFormat="1" ht="13.15" customHeight="1" x14ac:dyDescent="0.2">
      <c r="A249" s="227"/>
      <c r="B249" s="231"/>
      <c r="C249" s="532"/>
      <c r="D249" s="545"/>
      <c r="E249" s="412" t="s">
        <v>258</v>
      </c>
      <c r="F249" s="412"/>
      <c r="G249" s="209" t="s">
        <v>253</v>
      </c>
      <c r="H249" s="189" t="s">
        <v>25</v>
      </c>
      <c r="I249" s="368" t="s">
        <v>255</v>
      </c>
      <c r="J249" s="527"/>
      <c r="K249" s="527"/>
      <c r="L249" s="369"/>
    </row>
    <row r="250" spans="1:12" s="179" customFormat="1" ht="13.15" customHeight="1" x14ac:dyDescent="0.2">
      <c r="A250" s="227"/>
      <c r="B250" s="231"/>
      <c r="C250" s="532"/>
      <c r="D250" s="545"/>
      <c r="E250" s="376" t="s">
        <v>260</v>
      </c>
      <c r="F250" s="376"/>
      <c r="G250" s="241">
        <v>31</v>
      </c>
      <c r="H250" s="241">
        <f>G250</f>
        <v>31</v>
      </c>
      <c r="I250" s="389"/>
      <c r="J250" s="548"/>
      <c r="K250" s="548"/>
      <c r="L250" s="378"/>
    </row>
    <row r="251" spans="1:12" s="179" customFormat="1" ht="13.15" customHeight="1" x14ac:dyDescent="0.2">
      <c r="A251" s="227"/>
      <c r="B251" s="231"/>
      <c r="C251" s="532"/>
      <c r="D251" s="545"/>
      <c r="E251" s="376" t="s">
        <v>343</v>
      </c>
      <c r="F251" s="376"/>
      <c r="G251" s="241">
        <v>8</v>
      </c>
      <c r="H251" s="241">
        <f>G251</f>
        <v>8</v>
      </c>
      <c r="I251" s="385"/>
      <c r="J251" s="524"/>
      <c r="K251" s="524"/>
      <c r="L251" s="370"/>
    </row>
    <row r="252" spans="1:12" s="179" customFormat="1" x14ac:dyDescent="0.2">
      <c r="A252" s="227"/>
      <c r="B252" s="231"/>
      <c r="C252" s="532"/>
      <c r="D252" s="545"/>
      <c r="E252" s="523"/>
      <c r="F252" s="523"/>
      <c r="G252" s="192" t="s">
        <v>38</v>
      </c>
      <c r="H252" s="192">
        <f>SUM(H250:H251)</f>
        <v>39</v>
      </c>
      <c r="I252" s="546"/>
      <c r="J252" s="546"/>
      <c r="K252" s="546"/>
      <c r="L252" s="234"/>
    </row>
    <row r="253" spans="1:12" s="179" customFormat="1" ht="15" x14ac:dyDescent="0.25">
      <c r="A253" s="227"/>
      <c r="B253" s="180"/>
      <c r="C253" s="526"/>
      <c r="D253" s="526"/>
      <c r="E253" s="526"/>
      <c r="F253" s="526"/>
      <c r="G253" s="526"/>
      <c r="H253" s="526"/>
      <c r="I253" s="526"/>
      <c r="J253" s="526"/>
      <c r="K253" s="526"/>
      <c r="L253" s="589"/>
    </row>
    <row r="254" spans="1:12" s="179" customFormat="1" ht="13.15" customHeight="1" x14ac:dyDescent="0.2">
      <c r="A254" s="227"/>
      <c r="B254" s="184" t="s">
        <v>32</v>
      </c>
      <c r="C254" s="185"/>
      <c r="D254" s="349" t="str">
        <f>PLANILHA!C41</f>
        <v>PISOS</v>
      </c>
      <c r="E254" s="349"/>
      <c r="F254" s="349"/>
      <c r="G254" s="349"/>
      <c r="H254" s="349"/>
      <c r="I254" s="349"/>
      <c r="J254" s="349"/>
      <c r="K254" s="349"/>
      <c r="L254" s="350"/>
    </row>
    <row r="255" spans="1:12" s="179" customFormat="1" ht="56.25" customHeight="1" x14ac:dyDescent="0.2">
      <c r="A255" s="227"/>
      <c r="B255" s="186" t="s">
        <v>14</v>
      </c>
      <c r="C255" s="196" t="str">
        <f>PLANILHA!$B$42</f>
        <v>13.380.0012-A</v>
      </c>
      <c r="D255" s="410" t="str">
        <f>PLANILHA!$C$42</f>
        <v>PISO DE GRANITINA,COMPREENDENDO:A)LASTRO,COM 4CM DE ESPESSURA MEDIA,DE ARGAMASSA DE CIMENTO E AREIA GROSSA,NO TRACO 1:4;B) CAMADA DE GRANITINA,COM 3CM DE ESPESSURA,FEITA COM GRANILHA Nº1 PRETA E CIMENTO,SUPERFICIE ESTUCADA APOS A FUNDICAO,SEM POLIMENTO</v>
      </c>
      <c r="E255" s="352"/>
      <c r="F255" s="352"/>
      <c r="G255" s="352"/>
      <c r="H255" s="352"/>
      <c r="I255" s="352"/>
      <c r="J255" s="352"/>
      <c r="K255" s="352"/>
      <c r="L255" s="353"/>
    </row>
    <row r="256" spans="1:12" s="179" customFormat="1" x14ac:dyDescent="0.2">
      <c r="A256" s="227"/>
      <c r="B256" s="180"/>
      <c r="C256" s="547"/>
      <c r="D256" s="520"/>
      <c r="E256" s="520"/>
      <c r="F256" s="520"/>
      <c r="G256" s="520"/>
      <c r="H256" s="521"/>
      <c r="I256" s="522"/>
      <c r="J256" s="522"/>
      <c r="K256" s="522"/>
      <c r="L256" s="357"/>
    </row>
    <row r="257" spans="1:12" s="179" customFormat="1" ht="15" customHeight="1" x14ac:dyDescent="0.2">
      <c r="A257" s="227"/>
      <c r="B257" s="180"/>
      <c r="C257" s="547"/>
      <c r="D257" s="375" t="s">
        <v>272</v>
      </c>
      <c r="E257" s="375"/>
      <c r="F257" s="260" t="s">
        <v>252</v>
      </c>
      <c r="G257" s="260" t="s">
        <v>253</v>
      </c>
      <c r="H257" s="189" t="s">
        <v>25</v>
      </c>
      <c r="I257" s="527" t="s">
        <v>255</v>
      </c>
      <c r="J257" s="527"/>
      <c r="K257" s="527"/>
      <c r="L257" s="369"/>
    </row>
    <row r="258" spans="1:12" s="179" customFormat="1" ht="15" customHeight="1" x14ac:dyDescent="0.2">
      <c r="A258" s="227"/>
      <c r="B258" s="180"/>
      <c r="C258" s="547"/>
      <c r="D258" s="411" t="s">
        <v>312</v>
      </c>
      <c r="E258" s="411"/>
      <c r="F258" s="241">
        <v>3.08</v>
      </c>
      <c r="G258" s="241">
        <v>3.55</v>
      </c>
      <c r="H258" s="241">
        <f>F258*G258</f>
        <v>10.933999999999999</v>
      </c>
      <c r="I258" s="522" t="s">
        <v>344</v>
      </c>
      <c r="J258" s="522"/>
      <c r="K258" s="522"/>
      <c r="L258" s="357"/>
    </row>
    <row r="259" spans="1:12" s="179" customFormat="1" ht="28.5" customHeight="1" x14ac:dyDescent="0.2">
      <c r="A259" s="227"/>
      <c r="B259" s="180"/>
      <c r="C259" s="547"/>
      <c r="D259" s="375" t="s">
        <v>316</v>
      </c>
      <c r="E259" s="375"/>
      <c r="F259" s="406" t="s">
        <v>322</v>
      </c>
      <c r="G259" s="407"/>
      <c r="H259" s="241">
        <v>12.94</v>
      </c>
      <c r="I259" s="523"/>
      <c r="J259" s="523"/>
      <c r="K259" s="523"/>
      <c r="L259" s="191"/>
    </row>
    <row r="260" spans="1:12" s="179" customFormat="1" ht="20.25" customHeight="1" x14ac:dyDescent="0.2">
      <c r="A260" s="227"/>
      <c r="B260" s="180"/>
      <c r="C260" s="547"/>
      <c r="D260" s="375" t="s">
        <v>281</v>
      </c>
      <c r="E260" s="375"/>
      <c r="F260" s="252">
        <v>1.7</v>
      </c>
      <c r="G260" s="252">
        <v>1.55</v>
      </c>
      <c r="H260" s="241">
        <f t="shared" ref="H260:H272" si="10">F260*G260</f>
        <v>2.6349999999999998</v>
      </c>
      <c r="I260" s="523"/>
      <c r="J260" s="523"/>
      <c r="K260" s="523"/>
      <c r="L260" s="191"/>
    </row>
    <row r="261" spans="1:12" s="179" customFormat="1" ht="21" customHeight="1" x14ac:dyDescent="0.2">
      <c r="A261" s="227"/>
      <c r="B261" s="180"/>
      <c r="C261" s="547"/>
      <c r="D261" s="375" t="s">
        <v>282</v>
      </c>
      <c r="E261" s="375"/>
      <c r="F261" s="252">
        <v>1.7</v>
      </c>
      <c r="G261" s="252">
        <v>1.55</v>
      </c>
      <c r="H261" s="241">
        <f t="shared" si="10"/>
        <v>2.6349999999999998</v>
      </c>
      <c r="I261" s="523"/>
      <c r="J261" s="523"/>
      <c r="K261" s="523"/>
      <c r="L261" s="191"/>
    </row>
    <row r="262" spans="1:12" s="179" customFormat="1" ht="22.5" customHeight="1" x14ac:dyDescent="0.2">
      <c r="A262" s="227"/>
      <c r="B262" s="180"/>
      <c r="C262" s="547"/>
      <c r="D262" s="375" t="s">
        <v>317</v>
      </c>
      <c r="E262" s="375"/>
      <c r="F262" s="252">
        <v>5.3</v>
      </c>
      <c r="G262" s="252">
        <v>4.3899999999999997</v>
      </c>
      <c r="H262" s="241">
        <f t="shared" si="10"/>
        <v>23.266999999999996</v>
      </c>
      <c r="I262" s="523"/>
      <c r="J262" s="523"/>
      <c r="K262" s="523"/>
      <c r="L262" s="191"/>
    </row>
    <row r="263" spans="1:12" s="179" customFormat="1" ht="23.25" customHeight="1" x14ac:dyDescent="0.2">
      <c r="A263" s="227"/>
      <c r="B263" s="180"/>
      <c r="C263" s="547"/>
      <c r="D263" s="375" t="str">
        <f>D166</f>
        <v>Recepção</v>
      </c>
      <c r="E263" s="375"/>
      <c r="F263" s="252">
        <v>2.63</v>
      </c>
      <c r="G263" s="252">
        <v>3.53</v>
      </c>
      <c r="H263" s="241">
        <f t="shared" si="10"/>
        <v>9.2838999999999992</v>
      </c>
      <c r="I263" s="523"/>
      <c r="J263" s="523"/>
      <c r="K263" s="523"/>
      <c r="L263" s="191"/>
    </row>
    <row r="264" spans="1:12" s="179" customFormat="1" ht="23.25" customHeight="1" x14ac:dyDescent="0.2">
      <c r="A264" s="227"/>
      <c r="B264" s="180"/>
      <c r="C264" s="547"/>
      <c r="D264" s="244" t="str">
        <f>D194</f>
        <v>Sala de inalação</v>
      </c>
      <c r="E264" s="245"/>
      <c r="F264" s="252">
        <v>1.85</v>
      </c>
      <c r="G264" s="269">
        <v>3.53</v>
      </c>
      <c r="H264" s="241">
        <f t="shared" si="10"/>
        <v>6.5305</v>
      </c>
      <c r="I264" s="523"/>
      <c r="J264" s="523"/>
      <c r="K264" s="523"/>
      <c r="L264" s="191"/>
    </row>
    <row r="265" spans="1:12" s="179" customFormat="1" ht="23.25" customHeight="1" x14ac:dyDescent="0.2">
      <c r="A265" s="227"/>
      <c r="B265" s="180"/>
      <c r="C265" s="547"/>
      <c r="D265" s="413" t="str">
        <f>C229</f>
        <v>Sala de fisioterapia</v>
      </c>
      <c r="E265" s="414"/>
      <c r="F265" s="252">
        <v>5.92</v>
      </c>
      <c r="G265" s="269">
        <v>3.55</v>
      </c>
      <c r="H265" s="241">
        <f t="shared" si="10"/>
        <v>21.015999999999998</v>
      </c>
      <c r="I265" s="523"/>
      <c r="J265" s="523"/>
      <c r="K265" s="523"/>
      <c r="L265" s="191"/>
    </row>
    <row r="266" spans="1:12" s="179" customFormat="1" ht="23.25" customHeight="1" x14ac:dyDescent="0.2">
      <c r="A266" s="227"/>
      <c r="B266" s="180"/>
      <c r="C266" s="547"/>
      <c r="D266" s="413" t="str">
        <f>D169</f>
        <v>Circulação (corredor central)</v>
      </c>
      <c r="E266" s="414"/>
      <c r="F266" s="252">
        <v>2</v>
      </c>
      <c r="G266" s="269">
        <v>17.25</v>
      </c>
      <c r="H266" s="264">
        <f t="shared" si="10"/>
        <v>34.5</v>
      </c>
      <c r="I266" s="523"/>
      <c r="J266" s="523"/>
      <c r="K266" s="523"/>
      <c r="L266" s="191"/>
    </row>
    <row r="267" spans="1:12" s="179" customFormat="1" ht="23.25" customHeight="1" x14ac:dyDescent="0.2">
      <c r="A267" s="227"/>
      <c r="B267" s="180"/>
      <c r="C267" s="547"/>
      <c r="D267" s="413" t="s">
        <v>325</v>
      </c>
      <c r="E267" s="414"/>
      <c r="F267" s="252">
        <v>1.2</v>
      </c>
      <c r="G267" s="264">
        <v>9.85</v>
      </c>
      <c r="H267" s="264">
        <f t="shared" si="10"/>
        <v>11.819999999999999</v>
      </c>
      <c r="I267" s="523"/>
      <c r="J267" s="523"/>
      <c r="K267" s="523"/>
      <c r="L267" s="191"/>
    </row>
    <row r="268" spans="1:12" s="179" customFormat="1" ht="23.25" customHeight="1" x14ac:dyDescent="0.2">
      <c r="A268" s="227"/>
      <c r="B268" s="180"/>
      <c r="C268" s="547"/>
      <c r="D268" s="413" t="str">
        <f>C230</f>
        <v>Consultório c/ sanit. anexo</v>
      </c>
      <c r="E268" s="414"/>
      <c r="F268" s="252">
        <v>2.98</v>
      </c>
      <c r="G268" s="252">
        <v>3.55</v>
      </c>
      <c r="H268" s="264">
        <f t="shared" si="10"/>
        <v>10.578999999999999</v>
      </c>
      <c r="I268" s="523"/>
      <c r="J268" s="523"/>
      <c r="K268" s="523"/>
      <c r="L268" s="191"/>
    </row>
    <row r="269" spans="1:12" s="179" customFormat="1" ht="23.25" customHeight="1" x14ac:dyDescent="0.2">
      <c r="A269" s="227"/>
      <c r="B269" s="180"/>
      <c r="C269" s="547"/>
      <c r="D269" s="413" t="str">
        <f>D171</f>
        <v>Sanitário anexo ao consultório</v>
      </c>
      <c r="E269" s="414"/>
      <c r="F269" s="252">
        <v>1.6</v>
      </c>
      <c r="G269" s="241">
        <v>1.9</v>
      </c>
      <c r="H269" s="264">
        <f t="shared" si="10"/>
        <v>3.04</v>
      </c>
      <c r="I269" s="523"/>
      <c r="J269" s="523"/>
      <c r="K269" s="523"/>
      <c r="L269" s="191"/>
    </row>
    <row r="270" spans="1:12" s="179" customFormat="1" ht="23.25" customHeight="1" x14ac:dyDescent="0.2">
      <c r="A270" s="227"/>
      <c r="B270" s="180"/>
      <c r="C270" s="547"/>
      <c r="D270" s="413" t="str">
        <f>D172</f>
        <v>D.M.L</v>
      </c>
      <c r="E270" s="414"/>
      <c r="F270" s="252">
        <f>1.65</f>
        <v>1.65</v>
      </c>
      <c r="G270" s="264">
        <v>1.55</v>
      </c>
      <c r="H270" s="264">
        <f t="shared" si="10"/>
        <v>2.5575000000000001</v>
      </c>
      <c r="I270" s="523"/>
      <c r="J270" s="523"/>
      <c r="K270" s="523"/>
      <c r="L270" s="191"/>
    </row>
    <row r="271" spans="1:12" s="179" customFormat="1" ht="23.25" customHeight="1" x14ac:dyDescent="0.2">
      <c r="A271" s="227"/>
      <c r="B271" s="180"/>
      <c r="C271" s="547"/>
      <c r="D271" s="412" t="s">
        <v>275</v>
      </c>
      <c r="E271" s="412"/>
      <c r="F271" s="252">
        <v>2.5499999999999998</v>
      </c>
      <c r="G271" s="264">
        <v>3.55</v>
      </c>
      <c r="H271" s="264">
        <f t="shared" si="10"/>
        <v>9.0524999999999984</v>
      </c>
      <c r="I271" s="523"/>
      <c r="J271" s="523"/>
      <c r="K271" s="523"/>
      <c r="L271" s="191"/>
    </row>
    <row r="272" spans="1:12" s="179" customFormat="1" ht="23.25" customHeight="1" x14ac:dyDescent="0.2">
      <c r="A272" s="227"/>
      <c r="B272" s="180"/>
      <c r="C272" s="547"/>
      <c r="D272" s="412" t="s">
        <v>277</v>
      </c>
      <c r="E272" s="412"/>
      <c r="F272" s="252">
        <v>2.77</v>
      </c>
      <c r="G272" s="264">
        <v>3.55</v>
      </c>
      <c r="H272" s="264">
        <f t="shared" si="10"/>
        <v>9.833499999999999</v>
      </c>
      <c r="I272" s="523"/>
      <c r="J272" s="523"/>
      <c r="K272" s="523"/>
      <c r="L272" s="191"/>
    </row>
    <row r="273" spans="1:12" s="179" customFormat="1" ht="23.25" customHeight="1" x14ac:dyDescent="0.2">
      <c r="A273" s="227"/>
      <c r="B273" s="180"/>
      <c r="C273" s="547"/>
      <c r="D273" s="413" t="str">
        <f>C231</f>
        <v>Sala de atividades coletivas/ACS</v>
      </c>
      <c r="E273" s="414"/>
      <c r="F273" s="252">
        <v>5.8</v>
      </c>
      <c r="G273" s="252">
        <v>3.58</v>
      </c>
      <c r="H273" s="264">
        <f>F273*G273</f>
        <v>20.763999999999999</v>
      </c>
      <c r="I273" s="523"/>
      <c r="J273" s="523"/>
      <c r="K273" s="523"/>
      <c r="L273" s="191"/>
    </row>
    <row r="274" spans="1:12" s="179" customFormat="1" ht="23.25" customHeight="1" x14ac:dyDescent="0.2">
      <c r="A274" s="227"/>
      <c r="B274" s="180"/>
      <c r="C274" s="547"/>
      <c r="D274" s="412" t="str">
        <f>D198</f>
        <v>Consultório 03 c/ sanit. Anexo</v>
      </c>
      <c r="E274" s="412"/>
      <c r="F274" s="241">
        <v>2.93</v>
      </c>
      <c r="G274" s="264">
        <v>2.62</v>
      </c>
      <c r="H274" s="264">
        <f>F274*G274</f>
        <v>7.6766000000000005</v>
      </c>
      <c r="I274" s="523"/>
      <c r="J274" s="523"/>
      <c r="K274" s="523"/>
      <c r="L274" s="191"/>
    </row>
    <row r="275" spans="1:12" s="179" customFormat="1" ht="23.25" customHeight="1" x14ac:dyDescent="0.2">
      <c r="A275" s="227"/>
      <c r="B275" s="180"/>
      <c r="C275" s="547"/>
      <c r="D275" s="412" t="s">
        <v>345</v>
      </c>
      <c r="E275" s="412"/>
      <c r="F275" s="241">
        <v>1.72</v>
      </c>
      <c r="G275" s="264">
        <v>3.58</v>
      </c>
      <c r="H275" s="264">
        <f>F275*G275</f>
        <v>6.1576000000000004</v>
      </c>
      <c r="I275" s="523"/>
      <c r="J275" s="523"/>
      <c r="K275" s="523"/>
      <c r="L275" s="191"/>
    </row>
    <row r="276" spans="1:12" s="179" customFormat="1" ht="23.25" customHeight="1" x14ac:dyDescent="0.2">
      <c r="A276" s="227"/>
      <c r="B276" s="180"/>
      <c r="C276" s="547"/>
      <c r="D276" s="415" t="str">
        <f>D180</f>
        <v>Sala de esterilização e guarda de materiais</v>
      </c>
      <c r="E276" s="416"/>
      <c r="F276" s="241">
        <v>3.56</v>
      </c>
      <c r="G276" s="264">
        <v>1.35</v>
      </c>
      <c r="H276" s="264">
        <f>F276*G276</f>
        <v>4.806</v>
      </c>
      <c r="I276" s="523"/>
      <c r="J276" s="523"/>
      <c r="K276" s="523"/>
      <c r="L276" s="191"/>
    </row>
    <row r="277" spans="1:12" s="179" customFormat="1" ht="23.25" customHeight="1" x14ac:dyDescent="0.2">
      <c r="A277" s="227"/>
      <c r="B277" s="180"/>
      <c r="C277" s="547"/>
      <c r="D277" s="415" t="str">
        <f>D181</f>
        <v>Expurgo</v>
      </c>
      <c r="E277" s="416"/>
      <c r="F277" s="241">
        <v>3.56</v>
      </c>
      <c r="G277" s="264">
        <v>1.35</v>
      </c>
      <c r="H277" s="264">
        <f t="shared" ref="H277:H281" si="11">F277*G277</f>
        <v>4.806</v>
      </c>
      <c r="I277" s="523"/>
      <c r="J277" s="523"/>
      <c r="K277" s="523"/>
      <c r="L277" s="191"/>
    </row>
    <row r="278" spans="1:12" s="179" customFormat="1" ht="23.25" customHeight="1" x14ac:dyDescent="0.2">
      <c r="A278" s="227"/>
      <c r="B278" s="180"/>
      <c r="C278" s="547"/>
      <c r="D278" s="415" t="str">
        <f>D182</f>
        <v>Almoxarifado</v>
      </c>
      <c r="E278" s="416"/>
      <c r="F278" s="241">
        <v>2.1</v>
      </c>
      <c r="G278" s="264">
        <v>1.45</v>
      </c>
      <c r="H278" s="264">
        <f t="shared" si="11"/>
        <v>3.0449999999999999</v>
      </c>
      <c r="I278" s="523"/>
      <c r="J278" s="523"/>
      <c r="K278" s="523"/>
      <c r="L278" s="191"/>
    </row>
    <row r="279" spans="1:12" s="179" customFormat="1" ht="23.25" customHeight="1" x14ac:dyDescent="0.2">
      <c r="A279" s="227"/>
      <c r="B279" s="180"/>
      <c r="C279" s="547"/>
      <c r="D279" s="415" t="str">
        <f>D183</f>
        <v>Banheiro de funcionários</v>
      </c>
      <c r="E279" s="416"/>
      <c r="F279" s="241">
        <v>2.71</v>
      </c>
      <c r="G279" s="264">
        <v>1.43</v>
      </c>
      <c r="H279" s="264">
        <f t="shared" si="11"/>
        <v>3.8752999999999997</v>
      </c>
      <c r="I279" s="523"/>
      <c r="J279" s="523"/>
      <c r="K279" s="523"/>
      <c r="L279" s="191"/>
    </row>
    <row r="280" spans="1:12" s="179" customFormat="1" ht="23.25" customHeight="1" x14ac:dyDescent="0.2">
      <c r="A280" s="227"/>
      <c r="B280" s="180"/>
      <c r="C280" s="547"/>
      <c r="D280" s="415" t="str">
        <f>D184</f>
        <v>Copa</v>
      </c>
      <c r="E280" s="416"/>
      <c r="F280" s="241">
        <v>3.61</v>
      </c>
      <c r="G280" s="264">
        <v>1.5</v>
      </c>
      <c r="H280" s="264">
        <f t="shared" si="11"/>
        <v>5.415</v>
      </c>
      <c r="I280" s="523"/>
      <c r="J280" s="523"/>
      <c r="K280" s="523"/>
      <c r="L280" s="191"/>
    </row>
    <row r="281" spans="1:12" s="179" customFormat="1" ht="23.25" customHeight="1" x14ac:dyDescent="0.2">
      <c r="A281" s="227"/>
      <c r="B281" s="180"/>
      <c r="C281" s="547"/>
      <c r="D281" s="415" t="s">
        <v>346</v>
      </c>
      <c r="E281" s="416"/>
      <c r="F281" s="252">
        <v>3.64</v>
      </c>
      <c r="G281" s="264">
        <v>2.83</v>
      </c>
      <c r="H281" s="264">
        <f t="shared" si="11"/>
        <v>10.301200000000001</v>
      </c>
      <c r="I281" s="523"/>
      <c r="J281" s="523"/>
      <c r="K281" s="523"/>
      <c r="L281" s="191"/>
    </row>
    <row r="282" spans="1:12" s="179" customFormat="1" x14ac:dyDescent="0.2">
      <c r="A282" s="227"/>
      <c r="B282" s="180"/>
      <c r="C282" s="547"/>
      <c r="D282" s="521"/>
      <c r="E282" s="523"/>
      <c r="F282" s="523"/>
      <c r="G282" s="251" t="s">
        <v>38</v>
      </c>
      <c r="H282" s="251">
        <f>SUM(H258:H276)</f>
        <v>210.02810000000002</v>
      </c>
      <c r="I282" s="523"/>
      <c r="J282" s="523"/>
      <c r="K282" s="523"/>
      <c r="L282" s="191"/>
    </row>
    <row r="283" spans="1:12" s="179" customFormat="1" x14ac:dyDescent="0.2">
      <c r="A283" s="227"/>
      <c r="B283" s="180"/>
      <c r="C283" s="547"/>
      <c r="D283" s="521"/>
      <c r="E283" s="523"/>
      <c r="F283" s="523"/>
      <c r="G283" s="505"/>
      <c r="H283" s="505"/>
      <c r="I283" s="523"/>
      <c r="J283" s="523"/>
      <c r="K283" s="523"/>
      <c r="L283" s="191"/>
    </row>
    <row r="284" spans="1:12" s="179" customFormat="1" ht="32.25" customHeight="1" x14ac:dyDescent="0.2">
      <c r="A284" s="227"/>
      <c r="B284" s="186" t="s">
        <v>87</v>
      </c>
      <c r="C284" s="196" t="str">
        <f>PLANILHA!$B$43</f>
        <v>05.001.0820-A</v>
      </c>
      <c r="D284" s="417" t="str">
        <f>PLANILHA!$C$43</f>
        <v>LIMPEZA E POLIMENTO DE PISO DE ALTA RESISTENCIA,ANTIGO,USANDO ESTUQUE COM ADESIVO,CIMENTO BRANCO E CORANTE,SENDO 2 POLIMENTOS MECANICOS 3%-DESGASTE DE FERRAMENTAS E EPI</v>
      </c>
      <c r="E284" s="418"/>
      <c r="F284" s="418"/>
      <c r="G284" s="418"/>
      <c r="H284" s="418"/>
      <c r="I284" s="418"/>
      <c r="J284" s="418"/>
      <c r="K284" s="418"/>
      <c r="L284" s="591"/>
    </row>
    <row r="285" spans="1:12" s="179" customFormat="1" ht="15" customHeight="1" x14ac:dyDescent="0.2">
      <c r="A285" s="227"/>
      <c r="B285" s="216"/>
      <c r="C285" s="532"/>
      <c r="D285" s="566"/>
      <c r="E285" s="567"/>
      <c r="F285" s="567"/>
      <c r="G285" s="567"/>
      <c r="H285" s="567"/>
      <c r="I285" s="567"/>
      <c r="J285" s="567"/>
      <c r="K285" s="567"/>
      <c r="L285" s="592"/>
    </row>
    <row r="286" spans="1:12" s="179" customFormat="1" ht="12.75" customHeight="1" x14ac:dyDescent="0.25">
      <c r="A286" s="227"/>
      <c r="B286" s="216"/>
      <c r="C286" s="532"/>
      <c r="D286" s="526"/>
      <c r="E286" s="526"/>
      <c r="F286" s="189" t="s">
        <v>25</v>
      </c>
      <c r="G286" s="530"/>
      <c r="H286" s="530"/>
      <c r="I286" s="527" t="s">
        <v>255</v>
      </c>
      <c r="J286" s="527"/>
      <c r="K286" s="527"/>
      <c r="L286" s="369"/>
    </row>
    <row r="287" spans="1:12" s="179" customFormat="1" ht="12.75" customHeight="1" x14ac:dyDescent="0.25">
      <c r="A287" s="227"/>
      <c r="B287" s="216"/>
      <c r="C287" s="532"/>
      <c r="D287" s="526"/>
      <c r="E287" s="526"/>
      <c r="F287" s="241">
        <f>H282</f>
        <v>210.02810000000002</v>
      </c>
      <c r="G287" s="530"/>
      <c r="H287" s="530"/>
      <c r="I287" s="522" t="s">
        <v>347</v>
      </c>
      <c r="J287" s="522"/>
      <c r="K287" s="522"/>
      <c r="L287" s="357"/>
    </row>
    <row r="288" spans="1:12" s="179" customFormat="1" ht="12.75" customHeight="1" x14ac:dyDescent="0.2">
      <c r="A288" s="227"/>
      <c r="B288" s="180"/>
      <c r="C288" s="547"/>
      <c r="D288" s="521"/>
      <c r="E288" s="192" t="s">
        <v>38</v>
      </c>
      <c r="F288" s="192">
        <f>SUM(F287)</f>
        <v>210.02810000000002</v>
      </c>
      <c r="G288" s="530"/>
      <c r="H288" s="530"/>
      <c r="I288" s="523"/>
      <c r="J288" s="523"/>
      <c r="K288" s="523"/>
      <c r="L288" s="191"/>
    </row>
    <row r="289" spans="1:22" s="179" customFormat="1" x14ac:dyDescent="0.2">
      <c r="A289" s="227"/>
      <c r="B289" s="180"/>
      <c r="C289" s="519"/>
      <c r="D289" s="521"/>
      <c r="E289" s="523"/>
      <c r="F289" s="523"/>
      <c r="G289" s="505"/>
      <c r="H289" s="525"/>
      <c r="I289" s="521"/>
      <c r="J289" s="521"/>
      <c r="K289" s="521"/>
      <c r="L289" s="194"/>
    </row>
    <row r="290" spans="1:22" s="179" customFormat="1" ht="13.15" customHeight="1" x14ac:dyDescent="0.2">
      <c r="A290" s="227"/>
      <c r="B290" s="184" t="s">
        <v>15</v>
      </c>
      <c r="C290" s="185"/>
      <c r="D290" s="371" t="str">
        <f>PLANILHA!C46</f>
        <v xml:space="preserve">ACABAMENTOS </v>
      </c>
      <c r="E290" s="349"/>
      <c r="F290" s="349"/>
      <c r="G290" s="349"/>
      <c r="H290" s="349"/>
      <c r="I290" s="349"/>
      <c r="J290" s="349"/>
      <c r="K290" s="349"/>
      <c r="L290" s="350"/>
    </row>
    <row r="291" spans="1:22" s="179" customFormat="1" ht="39" customHeight="1" x14ac:dyDescent="0.25">
      <c r="A291" s="227"/>
      <c r="B291" s="186" t="s">
        <v>16</v>
      </c>
      <c r="C291" s="196" t="str">
        <f>PLANILHA!$B$47</f>
        <v>14.007.0334-A</v>
      </c>
      <c r="D291" s="421" t="str">
        <f>PLANILHA!$C$47</f>
        <v>PRENDEDOR DE PORTA DE LATAO CROMADO,FIXADO NO PISO,HASTE ACIONADA POR PRESSAO DA PORTA OU DO PE.FORNECIMENTO</v>
      </c>
      <c r="E291" s="422"/>
      <c r="F291" s="422"/>
      <c r="G291" s="422"/>
      <c r="H291" s="422"/>
      <c r="I291" s="422"/>
      <c r="J291" s="422"/>
      <c r="K291" s="422"/>
      <c r="L291" s="423"/>
      <c r="N291" s="199"/>
      <c r="O291" s="199"/>
      <c r="P291" s="199"/>
      <c r="Q291" s="199"/>
      <c r="R291" s="199"/>
      <c r="S291" s="199"/>
      <c r="T291" s="199"/>
      <c r="U291" s="199"/>
      <c r="V291" s="199"/>
    </row>
    <row r="292" spans="1:22" s="179" customFormat="1" ht="15" x14ac:dyDescent="0.25">
      <c r="A292" s="227"/>
      <c r="B292" s="180"/>
      <c r="C292" s="547"/>
      <c r="D292" s="520"/>
      <c r="E292" s="520"/>
      <c r="F292" s="520"/>
      <c r="G292" s="520"/>
      <c r="H292" s="521"/>
      <c r="I292" s="354"/>
      <c r="J292" s="354"/>
      <c r="K292" s="354"/>
      <c r="L292" s="355"/>
      <c r="N292" s="199"/>
      <c r="O292" s="199"/>
      <c r="P292" s="199"/>
      <c r="Q292" s="199"/>
      <c r="R292" s="199"/>
      <c r="S292" s="199"/>
      <c r="T292" s="199"/>
      <c r="U292" s="199"/>
      <c r="V292" s="199"/>
    </row>
    <row r="293" spans="1:22" ht="12.75" customHeight="1" x14ac:dyDescent="0.25">
      <c r="B293" s="180"/>
      <c r="C293" s="547"/>
      <c r="D293" s="520"/>
      <c r="E293" s="424" t="s">
        <v>258</v>
      </c>
      <c r="F293" s="425"/>
      <c r="G293" s="200" t="s">
        <v>81</v>
      </c>
      <c r="H293" s="568"/>
      <c r="I293" s="527" t="s">
        <v>255</v>
      </c>
      <c r="J293" s="527"/>
      <c r="K293" s="527"/>
      <c r="L293" s="369"/>
      <c r="N293" s="199"/>
      <c r="O293" s="199"/>
      <c r="P293" s="199"/>
      <c r="Q293" s="199"/>
      <c r="R293" s="199"/>
      <c r="S293" s="199"/>
      <c r="T293" s="199"/>
      <c r="U293" s="199"/>
      <c r="V293" s="199"/>
    </row>
    <row r="294" spans="1:22" ht="13.15" customHeight="1" x14ac:dyDescent="0.25">
      <c r="B294" s="180"/>
      <c r="C294" s="547"/>
      <c r="D294" s="521"/>
      <c r="E294" s="419" t="s">
        <v>288</v>
      </c>
      <c r="F294" s="420"/>
      <c r="G294" s="210">
        <v>1</v>
      </c>
      <c r="H294" s="568"/>
      <c r="I294" s="548"/>
      <c r="J294" s="548"/>
      <c r="K294" s="548"/>
      <c r="L294" s="378"/>
      <c r="N294" s="199"/>
      <c r="O294" s="199"/>
      <c r="P294" s="199"/>
      <c r="Q294" s="199"/>
      <c r="R294" s="199"/>
      <c r="S294" s="199"/>
      <c r="T294" s="199"/>
      <c r="U294" s="199"/>
      <c r="V294" s="199"/>
    </row>
    <row r="295" spans="1:22" ht="12.75" customHeight="1" x14ac:dyDescent="0.25">
      <c r="B295" s="180"/>
      <c r="C295" s="547"/>
      <c r="D295" s="521"/>
      <c r="E295" s="419" t="s">
        <v>348</v>
      </c>
      <c r="F295" s="420"/>
      <c r="G295" s="210">
        <v>1</v>
      </c>
      <c r="H295" s="568"/>
      <c r="I295" s="548"/>
      <c r="J295" s="548"/>
      <c r="K295" s="548"/>
      <c r="L295" s="378"/>
      <c r="N295" s="199"/>
      <c r="O295" s="199"/>
      <c r="P295" s="199"/>
      <c r="Q295" s="199"/>
      <c r="R295" s="199"/>
      <c r="S295" s="199"/>
      <c r="T295" s="199"/>
      <c r="U295" s="199"/>
      <c r="V295" s="199"/>
    </row>
    <row r="296" spans="1:22" ht="12.75" customHeight="1" x14ac:dyDescent="0.25">
      <c r="B296" s="180"/>
      <c r="C296" s="547"/>
      <c r="D296" s="521"/>
      <c r="E296" s="523"/>
      <c r="F296" s="203" t="s">
        <v>257</v>
      </c>
      <c r="G296" s="192">
        <f>SUM(G294:G295)</f>
        <v>2</v>
      </c>
      <c r="H296" s="568"/>
      <c r="I296" s="548"/>
      <c r="J296" s="548"/>
      <c r="K296" s="548"/>
      <c r="L296" s="378"/>
      <c r="N296" s="199"/>
      <c r="O296" s="199"/>
      <c r="P296" s="199"/>
      <c r="Q296" s="199"/>
      <c r="R296" s="199"/>
      <c r="S296" s="199"/>
      <c r="T296" s="199"/>
      <c r="U296" s="199"/>
      <c r="V296" s="199"/>
    </row>
    <row r="297" spans="1:22" ht="12.75" customHeight="1" x14ac:dyDescent="0.25">
      <c r="B297" s="180"/>
      <c r="C297" s="547"/>
      <c r="D297" s="521"/>
      <c r="E297" s="523"/>
      <c r="F297" s="281"/>
      <c r="G297" s="282"/>
      <c r="H297" s="568"/>
      <c r="I297" s="549"/>
      <c r="J297" s="549"/>
      <c r="K297" s="549"/>
      <c r="L297" s="237"/>
      <c r="N297" s="199"/>
      <c r="O297" s="199"/>
      <c r="P297" s="199"/>
      <c r="Q297" s="199"/>
      <c r="R297" s="199"/>
      <c r="S297" s="199"/>
      <c r="T297" s="199"/>
      <c r="U297" s="199"/>
      <c r="V297" s="199"/>
    </row>
    <row r="298" spans="1:22" s="179" customFormat="1" ht="27" customHeight="1" x14ac:dyDescent="0.25">
      <c r="A298" s="227"/>
      <c r="B298" s="186" t="str">
        <f>PLANILHA!$A$48</f>
        <v>6.2</v>
      </c>
      <c r="C298" s="196" t="str">
        <f>PLANILHA!$B$48</f>
        <v>14.009.0085-A</v>
      </c>
      <c r="D298" s="421" t="str">
        <f>PLANILHA!$C$48</f>
        <v>COLOCACAO DE PRENDEDOR DE PORTA,EM PISOS DE MADEIRA,EXCLUSIVE O FORNECIMENTO 3%-DESGASTE DE FERRAMENTAS E EPI</v>
      </c>
      <c r="E298" s="422"/>
      <c r="F298" s="422"/>
      <c r="G298" s="422"/>
      <c r="H298" s="422"/>
      <c r="I298" s="422"/>
      <c r="J298" s="422"/>
      <c r="K298" s="422"/>
      <c r="L298" s="423"/>
      <c r="N298" s="199"/>
      <c r="O298" s="199"/>
      <c r="P298" s="199"/>
      <c r="Q298" s="199"/>
      <c r="R298" s="199"/>
      <c r="S298" s="199"/>
      <c r="T298" s="199"/>
      <c r="U298" s="199"/>
      <c r="V298" s="199"/>
    </row>
    <row r="299" spans="1:22" s="179" customFormat="1" ht="15" x14ac:dyDescent="0.25">
      <c r="A299" s="227"/>
      <c r="B299" s="180"/>
      <c r="C299" s="547"/>
      <c r="D299" s="520"/>
      <c r="E299" s="520"/>
      <c r="F299" s="520"/>
      <c r="G299" s="520"/>
      <c r="H299" s="521"/>
      <c r="I299" s="354"/>
      <c r="J299" s="354"/>
      <c r="K299" s="354"/>
      <c r="L299" s="355"/>
      <c r="N299" s="199"/>
      <c r="O299" s="199"/>
      <c r="P299" s="199"/>
      <c r="Q299" s="199"/>
      <c r="R299" s="199"/>
      <c r="S299" s="199"/>
      <c r="T299" s="199"/>
      <c r="U299" s="199"/>
      <c r="V299" s="199"/>
    </row>
    <row r="300" spans="1:22" ht="12.75" customHeight="1" x14ac:dyDescent="0.25">
      <c r="B300" s="180"/>
      <c r="C300" s="547"/>
      <c r="D300" s="520"/>
      <c r="E300" s="424" t="s">
        <v>258</v>
      </c>
      <c r="F300" s="425"/>
      <c r="G300" s="200" t="s">
        <v>81</v>
      </c>
      <c r="H300" s="568"/>
      <c r="I300" s="527" t="s">
        <v>255</v>
      </c>
      <c r="J300" s="527"/>
      <c r="K300" s="527"/>
      <c r="L300" s="369"/>
      <c r="N300" s="199"/>
      <c r="O300" s="199"/>
      <c r="P300" s="199"/>
      <c r="Q300" s="199"/>
      <c r="R300" s="199"/>
      <c r="S300" s="199"/>
      <c r="T300" s="199"/>
      <c r="U300" s="199"/>
      <c r="V300" s="199"/>
    </row>
    <row r="301" spans="1:22" ht="13.15" customHeight="1" x14ac:dyDescent="0.25">
      <c r="B301" s="180"/>
      <c r="C301" s="547"/>
      <c r="D301" s="521"/>
      <c r="E301" s="419" t="s">
        <v>288</v>
      </c>
      <c r="F301" s="420"/>
      <c r="G301" s="210">
        <v>1</v>
      </c>
      <c r="H301" s="568"/>
      <c r="I301" s="548" t="s">
        <v>349</v>
      </c>
      <c r="J301" s="548"/>
      <c r="K301" s="548"/>
      <c r="L301" s="378"/>
      <c r="N301" s="199"/>
      <c r="O301" s="199"/>
      <c r="P301" s="199"/>
      <c r="Q301" s="199"/>
      <c r="R301" s="199"/>
      <c r="S301" s="199"/>
      <c r="T301" s="199"/>
      <c r="U301" s="199"/>
      <c r="V301" s="199"/>
    </row>
    <row r="302" spans="1:22" ht="12.75" customHeight="1" x14ac:dyDescent="0.25">
      <c r="B302" s="180"/>
      <c r="C302" s="547"/>
      <c r="D302" s="521"/>
      <c r="E302" s="419" t="s">
        <v>348</v>
      </c>
      <c r="F302" s="420"/>
      <c r="G302" s="210">
        <v>1</v>
      </c>
      <c r="H302" s="568"/>
      <c r="I302" s="548"/>
      <c r="J302" s="548"/>
      <c r="K302" s="548"/>
      <c r="L302" s="378"/>
      <c r="N302" s="199"/>
      <c r="O302" s="199"/>
      <c r="P302" s="199"/>
      <c r="Q302" s="199"/>
      <c r="R302" s="199"/>
      <c r="S302" s="199"/>
      <c r="T302" s="199"/>
      <c r="U302" s="199"/>
      <c r="V302" s="199"/>
    </row>
    <row r="303" spans="1:22" ht="12.75" customHeight="1" x14ac:dyDescent="0.25">
      <c r="B303" s="180"/>
      <c r="C303" s="547"/>
      <c r="D303" s="521"/>
      <c r="E303" s="523"/>
      <c r="F303" s="203" t="s">
        <v>257</v>
      </c>
      <c r="G303" s="192">
        <f>SUM(G301:G302)</f>
        <v>2</v>
      </c>
      <c r="H303" s="568"/>
      <c r="I303" s="548"/>
      <c r="J303" s="548"/>
      <c r="K303" s="548"/>
      <c r="L303" s="378"/>
      <c r="N303" s="199"/>
      <c r="O303" s="199"/>
      <c r="P303" s="199"/>
      <c r="Q303" s="199"/>
      <c r="R303" s="199"/>
      <c r="S303" s="199"/>
      <c r="T303" s="199"/>
      <c r="U303" s="199"/>
      <c r="V303" s="199"/>
    </row>
    <row r="304" spans="1:22" ht="15" customHeight="1" x14ac:dyDescent="0.25">
      <c r="B304" s="180"/>
      <c r="C304" s="547"/>
      <c r="D304" s="521"/>
      <c r="E304" s="523"/>
      <c r="F304" s="523"/>
      <c r="G304" s="505"/>
      <c r="H304" s="525"/>
      <c r="I304" s="521"/>
      <c r="J304" s="521"/>
      <c r="K304" s="521"/>
      <c r="L304" s="194"/>
      <c r="N304" s="199"/>
      <c r="O304" s="199"/>
      <c r="P304" s="199"/>
      <c r="Q304" s="199"/>
      <c r="R304" s="199"/>
      <c r="S304" s="199"/>
      <c r="T304" s="199"/>
      <c r="U304" s="199"/>
      <c r="V304" s="199"/>
    </row>
    <row r="305" spans="1:22" s="179" customFormat="1" ht="27" customHeight="1" x14ac:dyDescent="0.25">
      <c r="A305" s="227"/>
      <c r="B305" s="186" t="str">
        <f>PLANILHA!$A$49</f>
        <v>6.3</v>
      </c>
      <c r="C305" s="196" t="str">
        <f>PLANILHA!$B$49</f>
        <v>06.082.0050-A</v>
      </c>
      <c r="D305" s="421" t="str">
        <f>PLANILHA!$C$49</f>
        <v>DRENO OU BARBACA EM TUBO DE PVC,DIAMETRO DE 2",INCLUSIVE FORNECIMENTO DO TUBO E MATERIAL DRENANTE ESTE PERCENTUAL REFERE-SE A DESGASTE DE FERRAMENTAS</v>
      </c>
      <c r="E305" s="422"/>
      <c r="F305" s="422"/>
      <c r="G305" s="422"/>
      <c r="H305" s="422"/>
      <c r="I305" s="422"/>
      <c r="J305" s="422"/>
      <c r="K305" s="422"/>
      <c r="L305" s="423"/>
      <c r="N305" s="199"/>
      <c r="O305" s="199"/>
      <c r="P305" s="199"/>
      <c r="Q305" s="199"/>
      <c r="R305" s="199"/>
      <c r="S305" s="199"/>
      <c r="T305" s="199"/>
      <c r="U305" s="199"/>
      <c r="V305" s="199"/>
    </row>
    <row r="306" spans="1:22" s="179" customFormat="1" ht="15" x14ac:dyDescent="0.25">
      <c r="A306" s="227"/>
      <c r="B306" s="180"/>
      <c r="C306" s="547"/>
      <c r="D306" s="520"/>
      <c r="E306" s="520"/>
      <c r="F306" s="520"/>
      <c r="G306" s="520"/>
      <c r="H306" s="521"/>
      <c r="I306" s="354"/>
      <c r="J306" s="354"/>
      <c r="K306" s="354"/>
      <c r="L306" s="355"/>
      <c r="N306" s="199"/>
      <c r="O306" s="199"/>
      <c r="P306" s="199"/>
      <c r="Q306" s="199"/>
      <c r="R306" s="199"/>
      <c r="S306" s="199"/>
      <c r="T306" s="199"/>
      <c r="U306" s="199"/>
      <c r="V306" s="199"/>
    </row>
    <row r="307" spans="1:22" ht="12.75" customHeight="1" x14ac:dyDescent="0.25">
      <c r="B307" s="180"/>
      <c r="C307" s="547"/>
      <c r="D307" s="520"/>
      <c r="E307" s="252" t="s">
        <v>258</v>
      </c>
      <c r="F307" s="209" t="s">
        <v>253</v>
      </c>
      <c r="G307" s="189" t="s">
        <v>23</v>
      </c>
      <c r="H307" s="568"/>
      <c r="I307" s="527" t="s">
        <v>255</v>
      </c>
      <c r="J307" s="527"/>
      <c r="K307" s="527"/>
      <c r="L307" s="369"/>
      <c r="N307" s="199"/>
      <c r="O307" s="199"/>
      <c r="P307" s="199"/>
      <c r="Q307" s="199"/>
      <c r="R307" s="199"/>
      <c r="S307" s="199"/>
      <c r="T307" s="199"/>
      <c r="U307" s="199"/>
      <c r="V307" s="199"/>
    </row>
    <row r="308" spans="1:22" ht="40.5" customHeight="1" x14ac:dyDescent="0.25">
      <c r="B308" s="180"/>
      <c r="C308" s="547"/>
      <c r="D308" s="521"/>
      <c r="E308" s="253" t="s">
        <v>350</v>
      </c>
      <c r="F308" s="241">
        <v>12</v>
      </c>
      <c r="G308" s="241">
        <f>F308</f>
        <v>12</v>
      </c>
      <c r="H308" s="568"/>
      <c r="I308" s="548" t="s">
        <v>351</v>
      </c>
      <c r="J308" s="548"/>
      <c r="K308" s="548"/>
      <c r="L308" s="378"/>
      <c r="N308" s="199"/>
      <c r="O308" s="199"/>
      <c r="P308" s="199"/>
      <c r="Q308" s="199"/>
      <c r="R308" s="199"/>
      <c r="S308" s="199"/>
      <c r="T308" s="199"/>
      <c r="U308" s="199"/>
      <c r="V308" s="199"/>
    </row>
    <row r="309" spans="1:22" ht="30.75" customHeight="1" x14ac:dyDescent="0.25">
      <c r="B309" s="180"/>
      <c r="C309" s="547"/>
      <c r="D309" s="521"/>
      <c r="E309" s="253" t="s">
        <v>352</v>
      </c>
      <c r="F309" s="241">
        <v>3</v>
      </c>
      <c r="G309" s="241">
        <f>F309</f>
        <v>3</v>
      </c>
      <c r="H309" s="568"/>
      <c r="I309" s="548"/>
      <c r="J309" s="548"/>
      <c r="K309" s="548"/>
      <c r="L309" s="378"/>
      <c r="N309" s="199"/>
      <c r="O309" s="199"/>
      <c r="P309" s="199"/>
      <c r="Q309" s="199"/>
      <c r="R309" s="199"/>
      <c r="S309" s="199"/>
      <c r="T309" s="199"/>
      <c r="U309" s="199"/>
      <c r="V309" s="199"/>
    </row>
    <row r="310" spans="1:22" ht="12.75" customHeight="1" x14ac:dyDescent="0.25">
      <c r="B310" s="180"/>
      <c r="C310" s="547"/>
      <c r="D310" s="521"/>
      <c r="E310" s="283"/>
      <c r="F310" s="192" t="s">
        <v>38</v>
      </c>
      <c r="G310" s="192">
        <f>SUM(G308:G309)</f>
        <v>15</v>
      </c>
      <c r="H310" s="568"/>
      <c r="I310" s="548"/>
      <c r="J310" s="548"/>
      <c r="K310" s="548"/>
      <c r="L310" s="378"/>
      <c r="N310" s="199"/>
      <c r="O310" s="199"/>
      <c r="P310" s="199"/>
      <c r="Q310" s="199"/>
      <c r="R310" s="199"/>
      <c r="S310" s="199"/>
      <c r="T310" s="199"/>
      <c r="U310" s="199"/>
      <c r="V310" s="199"/>
    </row>
    <row r="311" spans="1:22" ht="15" x14ac:dyDescent="0.25">
      <c r="B311" s="590"/>
      <c r="C311" s="526"/>
      <c r="D311" s="526"/>
      <c r="E311" s="526"/>
      <c r="F311" s="526"/>
      <c r="G311" s="526"/>
      <c r="H311" s="526"/>
      <c r="I311" s="526"/>
      <c r="J311" s="526"/>
      <c r="K311" s="526"/>
      <c r="L311" s="589"/>
      <c r="N311" s="199"/>
      <c r="O311" s="199"/>
      <c r="P311" s="199"/>
      <c r="Q311" s="199"/>
      <c r="R311" s="199"/>
      <c r="S311" s="199"/>
      <c r="T311" s="199"/>
      <c r="U311" s="199"/>
      <c r="V311" s="199"/>
    </row>
    <row r="312" spans="1:22" s="179" customFormat="1" ht="27" customHeight="1" x14ac:dyDescent="0.25">
      <c r="A312" s="227"/>
      <c r="B312" s="186" t="str">
        <f>PLANILHA!$A$50</f>
        <v>6.4</v>
      </c>
      <c r="C312" s="196" t="str">
        <f>PLANILHA!$B$50</f>
        <v>14477</v>
      </c>
      <c r="D312" s="421" t="str">
        <f>PLANILHA!$C$50</f>
        <v>INTERRUPTOR DE SOBREPOR COM 2 TECLAS PARALELAS, DE 10A/250V</v>
      </c>
      <c r="E312" s="422"/>
      <c r="F312" s="422"/>
      <c r="G312" s="422"/>
      <c r="H312" s="422"/>
      <c r="I312" s="422"/>
      <c r="J312" s="422"/>
      <c r="K312" s="422"/>
      <c r="L312" s="423"/>
      <c r="N312" s="199"/>
      <c r="O312" s="199"/>
      <c r="P312" s="199"/>
      <c r="Q312" s="199"/>
      <c r="R312" s="199"/>
      <c r="S312" s="199"/>
      <c r="T312" s="199"/>
      <c r="U312" s="199"/>
      <c r="V312" s="199"/>
    </row>
    <row r="313" spans="1:22" s="179" customFormat="1" x14ac:dyDescent="0.2">
      <c r="A313" s="227"/>
      <c r="B313" s="180"/>
      <c r="C313" s="547"/>
      <c r="D313" s="520"/>
      <c r="E313" s="520"/>
      <c r="F313" s="520"/>
      <c r="G313" s="520"/>
      <c r="H313" s="521"/>
      <c r="I313" s="354"/>
      <c r="J313" s="354"/>
      <c r="K313" s="354"/>
      <c r="L313" s="355"/>
    </row>
    <row r="314" spans="1:22" ht="12.75" customHeight="1" x14ac:dyDescent="0.2">
      <c r="B314" s="180"/>
      <c r="C314" s="547"/>
      <c r="D314" s="520"/>
      <c r="E314" s="424" t="s">
        <v>258</v>
      </c>
      <c r="F314" s="425"/>
      <c r="G314" s="200" t="s">
        <v>81</v>
      </c>
      <c r="H314" s="568"/>
      <c r="I314" s="527" t="s">
        <v>255</v>
      </c>
      <c r="J314" s="527"/>
      <c r="K314" s="527"/>
      <c r="L314" s="369"/>
    </row>
    <row r="315" spans="1:22" ht="13.15" customHeight="1" x14ac:dyDescent="0.2">
      <c r="B315" s="180"/>
      <c r="C315" s="547"/>
      <c r="D315" s="521"/>
      <c r="E315" s="428" t="s">
        <v>277</v>
      </c>
      <c r="F315" s="429"/>
      <c r="G315" s="210">
        <v>1</v>
      </c>
      <c r="H315" s="568"/>
      <c r="I315" s="548" t="s">
        <v>353</v>
      </c>
      <c r="J315" s="548"/>
      <c r="K315" s="548"/>
      <c r="L315" s="378"/>
      <c r="N315" s="241">
        <v>0.2</v>
      </c>
      <c r="O315" s="241">
        <v>30</v>
      </c>
      <c r="P315" s="284">
        <v>0.3</v>
      </c>
      <c r="Q315" s="241">
        <f>ROUND(N315*O315*P315,2)</f>
        <v>1.8</v>
      </c>
      <c r="R315" s="389" t="s">
        <v>354</v>
      </c>
      <c r="S315" s="377"/>
      <c r="T315" s="377"/>
      <c r="U315" s="378"/>
    </row>
    <row r="316" spans="1:22" ht="13.15" customHeight="1" x14ac:dyDescent="0.2">
      <c r="B316" s="180"/>
      <c r="C316" s="547"/>
      <c r="D316" s="521"/>
      <c r="E316" s="426" t="str">
        <f>D198</f>
        <v>Consultório 03 c/ sanit. Anexo</v>
      </c>
      <c r="F316" s="427"/>
      <c r="G316" s="210">
        <v>1</v>
      </c>
      <c r="H316" s="568"/>
      <c r="I316" s="549"/>
      <c r="J316" s="549"/>
      <c r="K316" s="549"/>
      <c r="L316" s="237"/>
      <c r="N316" s="241"/>
      <c r="O316" s="241"/>
      <c r="P316" s="284"/>
      <c r="Q316" s="241"/>
      <c r="R316" s="243"/>
      <c r="S316" s="236"/>
      <c r="T316" s="236"/>
      <c r="U316" s="237"/>
    </row>
    <row r="317" spans="1:22" ht="13.15" customHeight="1" x14ac:dyDescent="0.2">
      <c r="B317" s="180"/>
      <c r="C317" s="547"/>
      <c r="D317" s="521"/>
      <c r="E317" s="426" t="s">
        <v>355</v>
      </c>
      <c r="F317" s="427"/>
      <c r="G317" s="210">
        <v>1</v>
      </c>
      <c r="H317" s="568"/>
      <c r="I317" s="549"/>
      <c r="J317" s="549"/>
      <c r="K317" s="549"/>
      <c r="L317" s="237"/>
      <c r="N317" s="241"/>
      <c r="O317" s="241"/>
      <c r="P317" s="284"/>
      <c r="Q317" s="241"/>
      <c r="R317" s="243"/>
      <c r="S317" s="236"/>
      <c r="T317" s="236"/>
      <c r="U317" s="237"/>
    </row>
    <row r="318" spans="1:22" ht="12.75" customHeight="1" x14ac:dyDescent="0.2">
      <c r="B318" s="180"/>
      <c r="C318" s="547"/>
      <c r="D318" s="521"/>
      <c r="E318" s="523"/>
      <c r="F318" s="203" t="s">
        <v>257</v>
      </c>
      <c r="G318" s="192">
        <f>SUM(G315:G317)</f>
        <v>3</v>
      </c>
      <c r="H318" s="568"/>
      <c r="I318" s="548"/>
      <c r="J318" s="548"/>
      <c r="K318" s="548"/>
      <c r="L318" s="378"/>
      <c r="N318" s="241">
        <v>0.2</v>
      </c>
      <c r="O318" s="241">
        <f>25*3</f>
        <v>75</v>
      </c>
      <c r="P318" s="284">
        <v>0.3</v>
      </c>
      <c r="Q318" s="241">
        <f t="shared" ref="Q318" si="12">ROUND(N318*O318*P318,2)</f>
        <v>4.5</v>
      </c>
      <c r="R318" s="389" t="s">
        <v>356</v>
      </c>
      <c r="S318" s="377"/>
      <c r="T318" s="377"/>
      <c r="U318" s="378"/>
    </row>
    <row r="319" spans="1:22" ht="12.75" customHeight="1" x14ac:dyDescent="0.2">
      <c r="B319" s="180"/>
      <c r="C319" s="547"/>
      <c r="D319" s="521"/>
      <c r="E319" s="523"/>
      <c r="F319" s="254"/>
      <c r="G319" s="254"/>
      <c r="H319" s="568"/>
      <c r="I319" s="549"/>
      <c r="J319" s="549"/>
      <c r="K319" s="549"/>
      <c r="L319" s="237"/>
      <c r="N319" s="190"/>
      <c r="O319" s="190"/>
      <c r="P319" s="190"/>
      <c r="Q319" s="190"/>
      <c r="R319" s="236"/>
      <c r="S319" s="236"/>
      <c r="T319" s="236"/>
      <c r="U319" s="236"/>
    </row>
    <row r="320" spans="1:22" ht="12.75" customHeight="1" x14ac:dyDescent="0.2">
      <c r="B320" s="186" t="str">
        <f>PLANILHA!$A$51</f>
        <v>6.5</v>
      </c>
      <c r="C320" s="196" t="str">
        <f>PLANILHA!$B$51</f>
        <v>05512</v>
      </c>
      <c r="D320" s="421" t="str">
        <f>PLANILHA!$C$51</f>
        <v>ARANDELA EM ALUMINIO E VIDRO, USO INTERNO E EXTERNO, EXCLUSIVE LAMPADA, COM BASE PARA FIXACAO</v>
      </c>
      <c r="E320" s="422"/>
      <c r="F320" s="422"/>
      <c r="G320" s="422"/>
      <c r="H320" s="422"/>
      <c r="I320" s="422"/>
      <c r="J320" s="422"/>
      <c r="K320" s="422"/>
      <c r="L320" s="423"/>
      <c r="N320" s="190"/>
      <c r="O320" s="190"/>
      <c r="P320" s="190"/>
      <c r="Q320" s="190"/>
      <c r="R320" s="236"/>
      <c r="S320" s="236"/>
      <c r="T320" s="236"/>
      <c r="U320" s="236"/>
    </row>
    <row r="321" spans="1:21" ht="12.75" customHeight="1" x14ac:dyDescent="0.2">
      <c r="B321" s="180"/>
      <c r="C321" s="547"/>
      <c r="D321" s="520"/>
      <c r="E321" s="520"/>
      <c r="F321" s="520"/>
      <c r="G321" s="520"/>
      <c r="H321" s="521"/>
      <c r="I321" s="354"/>
      <c r="J321" s="354"/>
      <c r="K321" s="354"/>
      <c r="L321" s="355"/>
      <c r="N321" s="190"/>
      <c r="O321" s="190"/>
      <c r="P321" s="190"/>
      <c r="Q321" s="190"/>
      <c r="R321" s="236"/>
      <c r="S321" s="236"/>
      <c r="T321" s="236"/>
      <c r="U321" s="236"/>
    </row>
    <row r="322" spans="1:21" ht="12.75" customHeight="1" x14ac:dyDescent="0.2">
      <c r="B322" s="180"/>
      <c r="C322" s="547"/>
      <c r="D322" s="520"/>
      <c r="E322" s="424" t="s">
        <v>258</v>
      </c>
      <c r="F322" s="425"/>
      <c r="G322" s="200" t="s">
        <v>81</v>
      </c>
      <c r="H322" s="568"/>
      <c r="I322" s="527" t="s">
        <v>255</v>
      </c>
      <c r="J322" s="527"/>
      <c r="K322" s="527"/>
      <c r="L322" s="369"/>
      <c r="N322" s="190"/>
      <c r="O322" s="190"/>
      <c r="P322" s="190"/>
      <c r="Q322" s="190"/>
      <c r="R322" s="236"/>
      <c r="S322" s="236"/>
      <c r="T322" s="236"/>
      <c r="U322" s="236"/>
    </row>
    <row r="323" spans="1:21" ht="27" customHeight="1" x14ac:dyDescent="0.2">
      <c r="B323" s="180"/>
      <c r="C323" s="547"/>
      <c r="D323" s="521"/>
      <c r="E323" s="419" t="s">
        <v>357</v>
      </c>
      <c r="F323" s="420"/>
      <c r="G323" s="209">
        <v>11</v>
      </c>
      <c r="H323" s="568"/>
      <c r="I323" s="548" t="s">
        <v>358</v>
      </c>
      <c r="J323" s="548"/>
      <c r="K323" s="548"/>
      <c r="L323" s="378"/>
      <c r="N323" s="190"/>
      <c r="O323" s="190"/>
      <c r="P323" s="190"/>
      <c r="Q323" s="190"/>
      <c r="R323" s="236"/>
      <c r="S323" s="236"/>
      <c r="T323" s="236"/>
      <c r="U323" s="236"/>
    </row>
    <row r="324" spans="1:21" ht="12.75" customHeight="1" x14ac:dyDescent="0.2">
      <c r="B324" s="180"/>
      <c r="C324" s="547"/>
      <c r="D324" s="521"/>
      <c r="E324" s="523"/>
      <c r="F324" s="203" t="s">
        <v>257</v>
      </c>
      <c r="G324" s="192">
        <f>SUM(G323)</f>
        <v>11</v>
      </c>
      <c r="H324" s="568"/>
      <c r="I324" s="548"/>
      <c r="J324" s="548"/>
      <c r="K324" s="548"/>
      <c r="L324" s="378"/>
      <c r="N324" s="190"/>
      <c r="O324" s="190"/>
      <c r="P324" s="190"/>
      <c r="Q324" s="190"/>
      <c r="R324" s="236"/>
      <c r="S324" s="236"/>
      <c r="T324" s="236"/>
      <c r="U324" s="236"/>
    </row>
    <row r="325" spans="1:21" ht="12.75" customHeight="1" x14ac:dyDescent="0.2">
      <c r="B325" s="180"/>
      <c r="C325" s="547"/>
      <c r="D325" s="521"/>
      <c r="E325" s="523"/>
      <c r="F325" s="504"/>
      <c r="G325" s="505"/>
      <c r="H325" s="568"/>
      <c r="I325" s="549"/>
      <c r="J325" s="549"/>
      <c r="K325" s="549"/>
      <c r="L325" s="237"/>
      <c r="N325" s="190"/>
      <c r="O325" s="190"/>
      <c r="P325" s="190"/>
      <c r="Q325" s="190"/>
      <c r="R325" s="236"/>
      <c r="S325" s="236"/>
      <c r="T325" s="236"/>
      <c r="U325" s="236"/>
    </row>
    <row r="326" spans="1:21" ht="29.25" customHeight="1" x14ac:dyDescent="0.2">
      <c r="B326" s="186" t="str">
        <f>PLANILHA!A52</f>
        <v>6.6</v>
      </c>
      <c r="C326" s="196" t="str">
        <f>PLANILHA!B52</f>
        <v>18.016.0106-A</v>
      </c>
      <c r="D326" s="421" t="str">
        <f>PLANILHA!C52</f>
        <v>BARRA DE APOIO EM ACO INOXIDAVEL AISI 304,TUBO DE 1.1/4",INCLUSIVE FIXACAO COM PARAFUSOS INOXIDAVEIS E BUCHAS PLASTICAS,COM 80CM,CONFORME ABNT NBR 9050 PARA ACESSIBILIDADE.FORNECIMENTO E COLOCACAO</v>
      </c>
      <c r="E326" s="422"/>
      <c r="F326" s="422"/>
      <c r="G326" s="422"/>
      <c r="H326" s="422"/>
      <c r="I326" s="422"/>
      <c r="J326" s="422"/>
      <c r="K326" s="422"/>
      <c r="L326" s="423"/>
      <c r="N326" s="190"/>
      <c r="O326" s="190"/>
      <c r="P326" s="190"/>
      <c r="Q326" s="190"/>
      <c r="R326" s="236"/>
      <c r="S326" s="236"/>
      <c r="T326" s="236"/>
      <c r="U326" s="236"/>
    </row>
    <row r="327" spans="1:21" ht="12.75" customHeight="1" x14ac:dyDescent="0.2">
      <c r="B327" s="180"/>
      <c r="C327" s="547"/>
      <c r="D327" s="520"/>
      <c r="E327" s="520"/>
      <c r="F327" s="520"/>
      <c r="G327" s="520"/>
      <c r="H327" s="521"/>
      <c r="I327" s="354"/>
      <c r="J327" s="354"/>
      <c r="K327" s="354"/>
      <c r="L327" s="355"/>
      <c r="N327" s="190"/>
      <c r="O327" s="190"/>
      <c r="P327" s="190"/>
      <c r="Q327" s="190"/>
      <c r="R327" s="236"/>
      <c r="S327" s="236"/>
      <c r="T327" s="236"/>
      <c r="U327" s="236"/>
    </row>
    <row r="328" spans="1:21" ht="12.75" customHeight="1" x14ac:dyDescent="0.2">
      <c r="B328" s="180"/>
      <c r="C328" s="547"/>
      <c r="D328" s="520"/>
      <c r="E328" s="424" t="s">
        <v>258</v>
      </c>
      <c r="F328" s="425"/>
      <c r="G328" s="200" t="s">
        <v>81</v>
      </c>
      <c r="H328" s="568"/>
      <c r="I328" s="527" t="s">
        <v>255</v>
      </c>
      <c r="J328" s="527"/>
      <c r="K328" s="527"/>
      <c r="L328" s="369"/>
      <c r="N328" s="190"/>
      <c r="O328" s="190"/>
      <c r="P328" s="190"/>
      <c r="Q328" s="190"/>
      <c r="R328" s="236"/>
      <c r="S328" s="236"/>
      <c r="T328" s="236"/>
      <c r="U328" s="236"/>
    </row>
    <row r="329" spans="1:21" ht="12.75" customHeight="1" x14ac:dyDescent="0.2">
      <c r="B329" s="180"/>
      <c r="C329" s="547"/>
      <c r="D329" s="521"/>
      <c r="E329" s="419" t="s">
        <v>397</v>
      </c>
      <c r="F329" s="420"/>
      <c r="G329" s="209">
        <v>3</v>
      </c>
      <c r="H329" s="568"/>
      <c r="I329" s="548"/>
      <c r="J329" s="548"/>
      <c r="K329" s="548"/>
      <c r="L329" s="378"/>
      <c r="N329" s="190"/>
      <c r="O329" s="190"/>
      <c r="P329" s="190"/>
      <c r="Q329" s="190"/>
      <c r="R329" s="236"/>
      <c r="S329" s="236"/>
      <c r="T329" s="236"/>
      <c r="U329" s="236"/>
    </row>
    <row r="330" spans="1:21" ht="12.75" customHeight="1" x14ac:dyDescent="0.2">
      <c r="B330" s="180"/>
      <c r="C330" s="547"/>
      <c r="D330" s="521"/>
      <c r="E330" s="419" t="s">
        <v>396</v>
      </c>
      <c r="F330" s="420"/>
      <c r="G330" s="209">
        <v>3</v>
      </c>
      <c r="H330" s="568"/>
      <c r="I330" s="549"/>
      <c r="J330" s="549"/>
      <c r="K330" s="549"/>
      <c r="L330" s="237"/>
      <c r="N330" s="190"/>
      <c r="O330" s="190"/>
      <c r="P330" s="190"/>
      <c r="Q330" s="190"/>
      <c r="R330" s="236"/>
      <c r="S330" s="236"/>
      <c r="T330" s="236"/>
      <c r="U330" s="236"/>
    </row>
    <row r="331" spans="1:21" ht="12.75" customHeight="1" x14ac:dyDescent="0.2">
      <c r="B331" s="180"/>
      <c r="C331" s="547"/>
      <c r="D331" s="521"/>
      <c r="E331" s="419" t="s">
        <v>399</v>
      </c>
      <c r="F331" s="420"/>
      <c r="G331" s="209">
        <v>3</v>
      </c>
      <c r="H331" s="568"/>
      <c r="I331" s="549"/>
      <c r="J331" s="549"/>
      <c r="K331" s="549"/>
      <c r="L331" s="237"/>
      <c r="N331" s="190"/>
      <c r="O331" s="190"/>
      <c r="P331" s="190"/>
      <c r="Q331" s="190"/>
      <c r="R331" s="236"/>
      <c r="S331" s="236"/>
      <c r="T331" s="236"/>
      <c r="U331" s="236"/>
    </row>
    <row r="332" spans="1:21" ht="12.75" customHeight="1" x14ac:dyDescent="0.2">
      <c r="B332" s="180"/>
      <c r="C332" s="547"/>
      <c r="D332" s="521"/>
      <c r="E332" s="419" t="s">
        <v>398</v>
      </c>
      <c r="F332" s="420"/>
      <c r="G332" s="209">
        <v>3</v>
      </c>
      <c r="H332" s="568"/>
      <c r="I332" s="549"/>
      <c r="J332" s="549"/>
      <c r="K332" s="549"/>
      <c r="L332" s="237"/>
      <c r="N332" s="190"/>
      <c r="O332" s="190"/>
      <c r="P332" s="190"/>
      <c r="Q332" s="190"/>
      <c r="R332" s="236"/>
      <c r="S332" s="236"/>
      <c r="T332" s="236"/>
      <c r="U332" s="236"/>
    </row>
    <row r="333" spans="1:21" ht="12.75" customHeight="1" x14ac:dyDescent="0.2">
      <c r="B333" s="180"/>
      <c r="C333" s="547"/>
      <c r="D333" s="521"/>
      <c r="E333" s="523"/>
      <c r="F333" s="203" t="s">
        <v>257</v>
      </c>
      <c r="G333" s="192">
        <f>SUM(G329:G332)</f>
        <v>12</v>
      </c>
      <c r="H333" s="568"/>
      <c r="I333" s="548"/>
      <c r="J333" s="548"/>
      <c r="K333" s="548"/>
      <c r="L333" s="378"/>
      <c r="N333" s="190"/>
      <c r="O333" s="190"/>
      <c r="P333" s="190"/>
      <c r="Q333" s="190"/>
      <c r="R333" s="236"/>
      <c r="S333" s="236"/>
      <c r="T333" s="236"/>
      <c r="U333" s="236"/>
    </row>
    <row r="334" spans="1:21" ht="12.75" customHeight="1" x14ac:dyDescent="0.2">
      <c r="B334" s="180"/>
      <c r="C334" s="547"/>
      <c r="D334" s="521"/>
      <c r="E334" s="523"/>
      <c r="F334" s="504"/>
      <c r="G334" s="505"/>
      <c r="H334" s="568"/>
      <c r="I334" s="549"/>
      <c r="J334" s="549"/>
      <c r="K334" s="549"/>
      <c r="L334" s="237"/>
      <c r="N334" s="190"/>
      <c r="O334" s="190"/>
      <c r="P334" s="190"/>
      <c r="Q334" s="190"/>
      <c r="R334" s="236"/>
      <c r="S334" s="236"/>
      <c r="T334" s="236"/>
      <c r="U334" s="236"/>
    </row>
    <row r="335" spans="1:21" s="179" customFormat="1" ht="12.75" customHeight="1" x14ac:dyDescent="0.2">
      <c r="A335" s="227"/>
      <c r="B335" s="184" t="s">
        <v>17</v>
      </c>
      <c r="C335" s="185"/>
      <c r="D335" s="371" t="str">
        <f>PLANILHA!$C$55</f>
        <v>SERVIÇOS  E EQUIPAMENTOS COMPLEMENTARES</v>
      </c>
      <c r="E335" s="349"/>
      <c r="F335" s="349"/>
      <c r="G335" s="349"/>
      <c r="H335" s="349"/>
      <c r="I335" s="349"/>
      <c r="J335" s="349"/>
      <c r="K335" s="349"/>
      <c r="L335" s="350"/>
    </row>
    <row r="336" spans="1:21" s="179" customFormat="1" ht="29.25" customHeight="1" x14ac:dyDescent="0.2">
      <c r="A336" s="227"/>
      <c r="B336" s="186" t="str">
        <f>PLANILHA!$A$56</f>
        <v>7.1</v>
      </c>
      <c r="C336" s="196" t="str">
        <f>PLANILHA!$B$56</f>
        <v>14.004.0010-A</v>
      </c>
      <c r="D336" s="430" t="str">
        <f>PLANILHA!$C$56</f>
        <v>VIDRO PLANO TRANSPARENTE,COMUM,DE 3MM DE ESPESSURA.FORNECIMENTO E COLOCACAO 10%-MATERIAL PARA FIXACAO DO VIDRO 3%-DESGASTE DE FERRAMENTAS E EPI</v>
      </c>
      <c r="E336" s="431"/>
      <c r="F336" s="431"/>
      <c r="G336" s="431"/>
      <c r="H336" s="431"/>
      <c r="I336" s="431"/>
      <c r="J336" s="431"/>
      <c r="K336" s="431"/>
      <c r="L336" s="432"/>
    </row>
    <row r="337" spans="1:12" s="179" customFormat="1" x14ac:dyDescent="0.2">
      <c r="A337" s="227"/>
      <c r="B337" s="180"/>
      <c r="C337" s="547"/>
      <c r="D337" s="520"/>
      <c r="E337" s="520"/>
      <c r="F337" s="520"/>
      <c r="G337" s="520"/>
      <c r="H337" s="521"/>
      <c r="I337" s="354"/>
      <c r="J337" s="354"/>
      <c r="K337" s="354"/>
      <c r="L337" s="355"/>
    </row>
    <row r="338" spans="1:12" s="179" customFormat="1" ht="12.75" customHeight="1" x14ac:dyDescent="0.2">
      <c r="A338" s="227"/>
      <c r="B338" s="180"/>
      <c r="C338" s="547"/>
      <c r="D338" s="520"/>
      <c r="E338" s="252" t="s">
        <v>258</v>
      </c>
      <c r="F338" s="209" t="s">
        <v>259</v>
      </c>
      <c r="G338" s="209" t="s">
        <v>252</v>
      </c>
      <c r="H338" s="189" t="s">
        <v>25</v>
      </c>
      <c r="I338" s="527" t="s">
        <v>255</v>
      </c>
      <c r="J338" s="527"/>
      <c r="K338" s="527"/>
      <c r="L338" s="369"/>
    </row>
    <row r="339" spans="1:12" s="179" customFormat="1" ht="12.75" customHeight="1" x14ac:dyDescent="0.2">
      <c r="A339" s="227"/>
      <c r="B339" s="180"/>
      <c r="C339" s="547"/>
      <c r="D339" s="521"/>
      <c r="E339" s="235" t="s">
        <v>359</v>
      </c>
      <c r="F339" s="241">
        <v>0.2</v>
      </c>
      <c r="G339" s="241">
        <v>1</v>
      </c>
      <c r="H339" s="241">
        <f>G339+F339</f>
        <v>1.2</v>
      </c>
      <c r="I339" s="522" t="s">
        <v>360</v>
      </c>
      <c r="J339" s="522"/>
      <c r="K339" s="522"/>
      <c r="L339" s="357"/>
    </row>
    <row r="340" spans="1:12" s="179" customFormat="1" x14ac:dyDescent="0.2">
      <c r="A340" s="227"/>
      <c r="B340" s="180"/>
      <c r="C340" s="547"/>
      <c r="D340" s="521"/>
      <c r="E340" s="523"/>
      <c r="F340" s="523"/>
      <c r="G340" s="192" t="s">
        <v>38</v>
      </c>
      <c r="H340" s="192">
        <f>H339</f>
        <v>1.2</v>
      </c>
      <c r="I340" s="523"/>
      <c r="J340" s="523"/>
      <c r="K340" s="523"/>
      <c r="L340" s="191"/>
    </row>
    <row r="341" spans="1:12" s="179" customFormat="1" x14ac:dyDescent="0.2">
      <c r="A341" s="227"/>
      <c r="B341" s="180"/>
      <c r="C341" s="547"/>
      <c r="D341" s="521"/>
      <c r="E341" s="523"/>
      <c r="F341" s="523"/>
      <c r="G341" s="282"/>
      <c r="H341" s="282"/>
      <c r="I341" s="523"/>
      <c r="J341" s="523"/>
      <c r="K341" s="523"/>
      <c r="L341" s="191"/>
    </row>
    <row r="342" spans="1:12" s="179" customFormat="1" ht="31.15" customHeight="1" x14ac:dyDescent="0.2">
      <c r="A342" s="227"/>
      <c r="B342" s="186" t="s">
        <v>30</v>
      </c>
      <c r="C342" s="196" t="str">
        <f>PLANILHA!$B$57</f>
        <v>05.001.0350-A</v>
      </c>
      <c r="D342" s="430" t="str">
        <f>PLANILHA!$C$57</f>
        <v>LIMPEZA DE VIDROS,FEITA NOS DOIS LADOS,CONTADO UM LADO 12%-MATERIAL DE LIMPEZA</v>
      </c>
      <c r="E342" s="431"/>
      <c r="F342" s="431"/>
      <c r="G342" s="431"/>
      <c r="H342" s="431"/>
      <c r="I342" s="431"/>
      <c r="J342" s="431"/>
      <c r="K342" s="431"/>
      <c r="L342" s="432"/>
    </row>
    <row r="343" spans="1:12" s="179" customFormat="1" x14ac:dyDescent="0.2">
      <c r="A343" s="227"/>
      <c r="B343" s="180"/>
      <c r="C343" s="519"/>
      <c r="D343" s="520"/>
      <c r="E343" s="520"/>
      <c r="F343" s="520"/>
      <c r="G343" s="520"/>
      <c r="H343" s="521"/>
      <c r="I343" s="354"/>
      <c r="J343" s="354"/>
      <c r="K343" s="354"/>
      <c r="L343" s="355"/>
    </row>
    <row r="344" spans="1:12" s="179" customFormat="1" ht="12.75" customHeight="1" x14ac:dyDescent="0.2">
      <c r="A344" s="227"/>
      <c r="B344" s="180"/>
      <c r="C344" s="519"/>
      <c r="D344" s="520"/>
      <c r="E344" s="252" t="s">
        <v>258</v>
      </c>
      <c r="F344" s="209" t="s">
        <v>253</v>
      </c>
      <c r="G344" s="209" t="s">
        <v>252</v>
      </c>
      <c r="H344" s="189" t="s">
        <v>25</v>
      </c>
      <c r="I344" s="527" t="s">
        <v>255</v>
      </c>
      <c r="J344" s="527"/>
      <c r="K344" s="527"/>
      <c r="L344" s="369"/>
    </row>
    <row r="345" spans="1:12" s="179" customFormat="1" ht="12.75" customHeight="1" x14ac:dyDescent="0.2">
      <c r="A345" s="227"/>
      <c r="B345" s="180"/>
      <c r="C345" s="519"/>
      <c r="D345" s="521"/>
      <c r="E345" s="235" t="s">
        <v>361</v>
      </c>
      <c r="F345" s="279">
        <v>3.13</v>
      </c>
      <c r="G345" s="279">
        <v>5.29</v>
      </c>
      <c r="H345" s="241">
        <f>F345*G345</f>
        <v>16.557700000000001</v>
      </c>
      <c r="I345" s="522"/>
      <c r="J345" s="522"/>
      <c r="K345" s="522"/>
      <c r="L345" s="357"/>
    </row>
    <row r="346" spans="1:12" s="179" customFormat="1" x14ac:dyDescent="0.2">
      <c r="A346" s="227"/>
      <c r="B346" s="180"/>
      <c r="C346" s="519"/>
      <c r="D346" s="521"/>
      <c r="E346" s="238" t="s">
        <v>362</v>
      </c>
      <c r="F346" s="241">
        <v>2.74</v>
      </c>
      <c r="G346" s="241">
        <v>4.0999999999999996</v>
      </c>
      <c r="H346" s="241">
        <f>F346*G346</f>
        <v>11.234</v>
      </c>
      <c r="I346" s="356"/>
      <c r="J346" s="522"/>
      <c r="K346" s="522"/>
      <c r="L346" s="357"/>
    </row>
    <row r="347" spans="1:12" s="179" customFormat="1" x14ac:dyDescent="0.2">
      <c r="A347" s="227"/>
      <c r="B347" s="180"/>
      <c r="C347" s="519"/>
      <c r="D347" s="521"/>
      <c r="E347" s="523"/>
      <c r="F347" s="523"/>
      <c r="G347" s="192" t="s">
        <v>38</v>
      </c>
      <c r="H347" s="192">
        <f>H345+H346</f>
        <v>27.791699999999999</v>
      </c>
      <c r="I347" s="523"/>
      <c r="J347" s="523"/>
      <c r="K347" s="523"/>
      <c r="L347" s="191"/>
    </row>
    <row r="348" spans="1:12" s="179" customFormat="1" x14ac:dyDescent="0.2">
      <c r="A348" s="227"/>
      <c r="B348" s="180"/>
      <c r="C348" s="519"/>
      <c r="D348" s="521"/>
      <c r="E348" s="523"/>
      <c r="F348" s="523"/>
      <c r="G348" s="282"/>
      <c r="H348" s="282"/>
      <c r="I348" s="523"/>
      <c r="J348" s="523"/>
      <c r="K348" s="523"/>
      <c r="L348" s="191"/>
    </row>
    <row r="349" spans="1:12" s="179" customFormat="1" ht="40.5" customHeight="1" x14ac:dyDescent="0.2">
      <c r="A349" s="227"/>
      <c r="B349" s="186" t="s">
        <v>206</v>
      </c>
      <c r="C349" s="196" t="str">
        <f>PLANILHA!$B$58</f>
        <v>15.005.0215-A</v>
      </c>
      <c r="D349" s="367" t="str">
        <f>PLANILHA!$C$58</f>
        <v>ASSENTAMENTO DE AR-CONDICIONADO SPLIT DE 9000 A 30000 BTU/H,COM 1 CONDENSADOR E 1 EVAPORADOR,CONFORME ABNT NBR 16655,(VIDE FORNECIMENTO DO APARELHO NA FAMILIA 18.030) INCLUSIVE ACESSORIOS DE FIXACAO,EXCLUSIVE ALIMENTACAO ELETRICA E INTERLIGACAO CONDENSADOR/EVAPORADOR (VIDE ITEM 15.005.0240)3%-DESGASTE DE FERRAMENTAS E EPI</v>
      </c>
      <c r="E349" s="367"/>
      <c r="F349" s="367"/>
      <c r="G349" s="367"/>
      <c r="H349" s="367"/>
      <c r="I349" s="367"/>
      <c r="J349" s="367"/>
      <c r="K349" s="367"/>
      <c r="L349" s="593"/>
    </row>
    <row r="350" spans="1:12" s="179" customFormat="1" x14ac:dyDescent="0.2">
      <c r="A350" s="227"/>
      <c r="B350" s="180"/>
      <c r="C350" s="519"/>
      <c r="D350" s="521"/>
      <c r="E350" s="523"/>
      <c r="F350" s="523"/>
      <c r="G350" s="505"/>
      <c r="H350" s="505"/>
      <c r="I350" s="523"/>
      <c r="J350" s="523"/>
      <c r="K350" s="523"/>
      <c r="L350" s="191"/>
    </row>
    <row r="351" spans="1:12" s="179" customFormat="1" x14ac:dyDescent="0.2">
      <c r="A351" s="227"/>
      <c r="B351" s="180"/>
      <c r="C351" s="519"/>
      <c r="D351" s="521"/>
      <c r="E351" s="523"/>
      <c r="F351" s="523"/>
      <c r="G351" s="505"/>
      <c r="H351" s="505"/>
      <c r="I351" s="523"/>
      <c r="J351" s="523"/>
      <c r="K351" s="523"/>
      <c r="L351" s="191"/>
    </row>
    <row r="352" spans="1:12" s="179" customFormat="1" ht="12.75" customHeight="1" x14ac:dyDescent="0.25">
      <c r="A352" s="227"/>
      <c r="B352" s="180"/>
      <c r="C352" s="519"/>
      <c r="D352" s="521"/>
      <c r="E352" s="530"/>
      <c r="F352" s="526"/>
      <c r="G352" s="252" t="s">
        <v>258</v>
      </c>
      <c r="H352" s="189" t="s">
        <v>81</v>
      </c>
      <c r="I352" s="527" t="s">
        <v>255</v>
      </c>
      <c r="J352" s="527"/>
      <c r="K352" s="527"/>
      <c r="L352" s="369"/>
    </row>
    <row r="353" spans="1:12" s="179" customFormat="1" ht="24" customHeight="1" x14ac:dyDescent="0.25">
      <c r="A353" s="227"/>
      <c r="B353" s="180"/>
      <c r="C353" s="519"/>
      <c r="D353" s="521"/>
      <c r="E353" s="530"/>
      <c r="F353" s="526"/>
      <c r="G353" s="235" t="s">
        <v>363</v>
      </c>
      <c r="H353" s="241">
        <v>1</v>
      </c>
      <c r="I353" s="530"/>
      <c r="J353" s="522" t="s">
        <v>364</v>
      </c>
      <c r="K353" s="522"/>
      <c r="L353" s="357"/>
    </row>
    <row r="354" spans="1:12" s="179" customFormat="1" ht="15" x14ac:dyDescent="0.25">
      <c r="A354" s="227"/>
      <c r="B354" s="180"/>
      <c r="C354" s="519"/>
      <c r="D354" s="521"/>
      <c r="E354" s="530"/>
      <c r="F354" s="526"/>
      <c r="G354" s="238" t="s">
        <v>365</v>
      </c>
      <c r="H354" s="241">
        <v>1</v>
      </c>
      <c r="I354" s="523"/>
      <c r="J354" s="523"/>
      <c r="K354" s="523"/>
      <c r="L354" s="191"/>
    </row>
    <row r="355" spans="1:12" s="179" customFormat="1" ht="15" x14ac:dyDescent="0.25">
      <c r="A355" s="227"/>
      <c r="B355" s="180"/>
      <c r="C355" s="519"/>
      <c r="D355" s="521"/>
      <c r="E355" s="530"/>
      <c r="F355" s="526"/>
      <c r="G355" s="238" t="s">
        <v>366</v>
      </c>
      <c r="H355" s="241">
        <v>3</v>
      </c>
      <c r="I355" s="523"/>
      <c r="J355" s="523"/>
      <c r="K355" s="523"/>
      <c r="L355" s="191"/>
    </row>
    <row r="356" spans="1:12" s="179" customFormat="1" ht="15" x14ac:dyDescent="0.25">
      <c r="A356" s="227"/>
      <c r="B356" s="180"/>
      <c r="C356" s="519"/>
      <c r="D356" s="521"/>
      <c r="E356" s="523"/>
      <c r="F356" s="526"/>
      <c r="G356" s="285" t="s">
        <v>38</v>
      </c>
      <c r="H356" s="192">
        <f>H353+H354+H355</f>
        <v>5</v>
      </c>
      <c r="I356" s="523"/>
      <c r="J356" s="523"/>
      <c r="K356" s="523"/>
      <c r="L356" s="191"/>
    </row>
    <row r="357" spans="1:12" s="179" customFormat="1" x14ac:dyDescent="0.2">
      <c r="A357" s="227"/>
      <c r="B357" s="180"/>
      <c r="C357" s="519"/>
      <c r="D357" s="521"/>
      <c r="E357" s="523"/>
      <c r="F357" s="523"/>
      <c r="G357" s="505"/>
      <c r="H357" s="505"/>
      <c r="I357" s="523"/>
      <c r="J357" s="523"/>
      <c r="K357" s="523"/>
      <c r="L357" s="191"/>
    </row>
    <row r="358" spans="1:12" s="179" customFormat="1" ht="48" customHeight="1" x14ac:dyDescent="0.2">
      <c r="A358" s="227"/>
      <c r="B358" s="186" t="str">
        <f>PLANILHA!$A$59</f>
        <v>7.4</v>
      </c>
      <c r="C358" s="196" t="str">
        <f>PLANILHA!$B$59</f>
        <v>15.004.0151-A</v>
      </c>
      <c r="D358" s="367" t="str">
        <f>PLANILHA!$C$59</f>
        <v>INSTALACAO E ASSENTAMENTO DE BEBEDOURO OU LAVATORIO TIPO CALHA,EM BATERIA COM 1 PONTO A CADA 50CM(EXCLUSIVE FORNECIMENTODO APARELHO),COMPREENDENDO:1,00M DE TUBO DE PVC DE 32MM E 0,60M DE TUBO DE PVC DE 25MM,COM CONEXOES E ESGOTAMENTO EM PVC DE 50MM,ATE O RALO SIFONADO 3%-DESGASTE DE FERRAMENTAS E EPI</v>
      </c>
      <c r="E358" s="367"/>
      <c r="F358" s="367"/>
      <c r="G358" s="367"/>
      <c r="H358" s="367"/>
      <c r="I358" s="367"/>
      <c r="J358" s="367"/>
      <c r="K358" s="367"/>
      <c r="L358" s="593"/>
    </row>
    <row r="359" spans="1:12" s="179" customFormat="1" ht="13.5" customHeight="1" x14ac:dyDescent="0.2">
      <c r="A359" s="227"/>
      <c r="B359" s="216"/>
      <c r="C359" s="532"/>
      <c r="D359" s="533"/>
      <c r="E359" s="533"/>
      <c r="F359" s="533"/>
      <c r="G359" s="533"/>
      <c r="H359" s="533"/>
      <c r="I359" s="533"/>
      <c r="J359" s="533"/>
      <c r="K359" s="533"/>
      <c r="L359" s="594"/>
    </row>
    <row r="360" spans="1:12" s="179" customFormat="1" ht="21" customHeight="1" x14ac:dyDescent="0.2">
      <c r="A360" s="227"/>
      <c r="B360" s="216"/>
      <c r="C360" s="532"/>
      <c r="D360" s="533"/>
      <c r="E360" s="433" t="s">
        <v>258</v>
      </c>
      <c r="F360" s="433"/>
      <c r="G360" s="200" t="s">
        <v>81</v>
      </c>
      <c r="H360" s="568"/>
      <c r="I360" s="527" t="s">
        <v>255</v>
      </c>
      <c r="J360" s="527"/>
      <c r="K360" s="527"/>
      <c r="L360" s="369"/>
    </row>
    <row r="361" spans="1:12" s="179" customFormat="1" ht="15.75" customHeight="1" x14ac:dyDescent="0.2">
      <c r="A361" s="227"/>
      <c r="B361" s="216"/>
      <c r="C361" s="532"/>
      <c r="D361" s="533"/>
      <c r="E361" s="434" t="s">
        <v>317</v>
      </c>
      <c r="F361" s="435"/>
      <c r="G361" s="286">
        <v>1</v>
      </c>
      <c r="H361" s="568"/>
      <c r="I361" s="548" t="s">
        <v>367</v>
      </c>
      <c r="J361" s="548"/>
      <c r="K361" s="548"/>
      <c r="L361" s="378"/>
    </row>
    <row r="362" spans="1:12" s="179" customFormat="1" x14ac:dyDescent="0.2">
      <c r="A362" s="227"/>
      <c r="B362" s="180"/>
      <c r="C362" s="519"/>
      <c r="D362" s="521"/>
      <c r="E362" s="523"/>
      <c r="F362" s="203" t="s">
        <v>257</v>
      </c>
      <c r="G362" s="192">
        <f>SUM(G361)</f>
        <v>1</v>
      </c>
      <c r="H362" s="568"/>
      <c r="I362" s="548"/>
      <c r="J362" s="548"/>
      <c r="K362" s="548"/>
      <c r="L362" s="378"/>
    </row>
    <row r="363" spans="1:12" s="179" customFormat="1" x14ac:dyDescent="0.2">
      <c r="A363" s="227"/>
      <c r="B363" s="180"/>
      <c r="C363" s="519"/>
      <c r="D363" s="521"/>
      <c r="E363" s="523"/>
      <c r="F363" s="287"/>
      <c r="G363" s="254"/>
      <c r="H363" s="568"/>
      <c r="I363" s="549"/>
      <c r="J363" s="549"/>
      <c r="K363" s="549"/>
      <c r="L363" s="237"/>
    </row>
    <row r="364" spans="1:12" s="179" customFormat="1" x14ac:dyDescent="0.2">
      <c r="A364" s="227"/>
      <c r="B364" s="180"/>
      <c r="C364" s="519"/>
      <c r="D364" s="521"/>
      <c r="E364" s="523"/>
      <c r="F364" s="504"/>
      <c r="G364" s="505"/>
      <c r="H364" s="568"/>
      <c r="I364" s="549"/>
      <c r="J364" s="549"/>
      <c r="K364" s="549"/>
      <c r="L364" s="237"/>
    </row>
    <row r="365" spans="1:12" s="227" customFormat="1" ht="42.75" customHeight="1" x14ac:dyDescent="0.2">
      <c r="B365" s="195" t="str">
        <f>PLANILHA!$A$60</f>
        <v>7.5</v>
      </c>
      <c r="C365" s="196" t="str">
        <f>PLANILHA!$B$60</f>
        <v>15.005.0240-A</v>
      </c>
      <c r="D365" s="438" t="str">
        <f>PLANILHA!$C$60</f>
        <v>TUBULACAO EM COBRE PARA INTERLIGACAO DE AR-CONDICIONADO SPLIT CONDENSADOR/EVAPORADOR,CONFORME ABNT NBR 16655,INCLUSIVE ISOLAMENTO TERMICO,INTERLIGACAO ELETRICA,CONEXOES E FIXACAO,PARA APARELHOS DE 9000 A 30000 BTU/H.FORNECIMENTO E INSTALACAO 3%-DESGASTE DE FERRAMENTAS E EPI</v>
      </c>
      <c r="E365" s="438"/>
      <c r="F365" s="438"/>
      <c r="G365" s="438"/>
      <c r="H365" s="438"/>
      <c r="I365" s="438"/>
      <c r="J365" s="438"/>
      <c r="K365" s="438"/>
      <c r="L365" s="595"/>
    </row>
    <row r="366" spans="1:12" s="227" customFormat="1" ht="12.75" customHeight="1" x14ac:dyDescent="0.2">
      <c r="B366" s="207"/>
      <c r="C366" s="532"/>
      <c r="D366" s="540"/>
      <c r="E366" s="540"/>
      <c r="F366" s="540"/>
      <c r="G366" s="544"/>
      <c r="H366" s="544"/>
      <c r="I366" s="544"/>
      <c r="J366" s="544"/>
      <c r="K366" s="544"/>
      <c r="L366" s="596"/>
    </row>
    <row r="367" spans="1:12" s="227" customFormat="1" ht="15.75" customHeight="1" x14ac:dyDescent="0.2">
      <c r="B367" s="207"/>
      <c r="C367" s="532"/>
      <c r="D367" s="540"/>
      <c r="E367" s="540"/>
      <c r="F367" s="540"/>
      <c r="G367" s="252" t="s">
        <v>258</v>
      </c>
      <c r="H367" s="189" t="s">
        <v>23</v>
      </c>
      <c r="I367" s="527" t="s">
        <v>255</v>
      </c>
      <c r="J367" s="527"/>
      <c r="K367" s="527"/>
      <c r="L367" s="369"/>
    </row>
    <row r="368" spans="1:12" s="227" customFormat="1" ht="27.75" customHeight="1" x14ac:dyDescent="0.2">
      <c r="B368" s="207"/>
      <c r="C368" s="532"/>
      <c r="D368" s="540"/>
      <c r="E368" s="540"/>
      <c r="F368" s="540"/>
      <c r="G368" s="235" t="s">
        <v>363</v>
      </c>
      <c r="H368" s="241">
        <v>17.22</v>
      </c>
      <c r="I368" s="530"/>
      <c r="J368" s="522" t="s">
        <v>364</v>
      </c>
      <c r="K368" s="522"/>
      <c r="L368" s="357"/>
    </row>
    <row r="369" spans="1:12" s="227" customFormat="1" x14ac:dyDescent="0.2">
      <c r="B369" s="198"/>
      <c r="C369" s="547"/>
      <c r="D369" s="555"/>
      <c r="E369" s="556"/>
      <c r="F369" s="543"/>
      <c r="G369" s="238" t="s">
        <v>365</v>
      </c>
      <c r="H369" s="241">
        <v>18.829999999999998</v>
      </c>
      <c r="I369" s="523"/>
      <c r="J369" s="523"/>
      <c r="K369" s="523"/>
      <c r="L369" s="191"/>
    </row>
    <row r="370" spans="1:12" s="227" customFormat="1" x14ac:dyDescent="0.2">
      <c r="B370" s="198"/>
      <c r="C370" s="547"/>
      <c r="D370" s="555"/>
      <c r="E370" s="556"/>
      <c r="F370" s="543"/>
      <c r="G370" s="288" t="s">
        <v>366</v>
      </c>
      <c r="H370" s="246">
        <f>15.4*2+11.61</f>
        <v>42.41</v>
      </c>
      <c r="I370" s="569"/>
      <c r="J370" s="554" t="s">
        <v>368</v>
      </c>
      <c r="K370" s="554"/>
      <c r="L370" s="392"/>
    </row>
    <row r="371" spans="1:12" s="227" customFormat="1" x14ac:dyDescent="0.2">
      <c r="B371" s="198"/>
      <c r="C371" s="547"/>
      <c r="D371" s="555"/>
      <c r="E371" s="556"/>
      <c r="F371" s="543"/>
      <c r="G371" s="285" t="s">
        <v>38</v>
      </c>
      <c r="H371" s="192">
        <f>H368+H369+H370</f>
        <v>78.459999999999994</v>
      </c>
      <c r="I371" s="523"/>
      <c r="J371" s="523"/>
      <c r="K371" s="523"/>
      <c r="L371" s="191"/>
    </row>
    <row r="372" spans="1:12" s="227" customFormat="1" x14ac:dyDescent="0.2">
      <c r="B372" s="198"/>
      <c r="C372" s="547"/>
      <c r="D372" s="555"/>
      <c r="E372" s="556"/>
      <c r="F372" s="543"/>
      <c r="G372" s="570"/>
      <c r="H372" s="571"/>
      <c r="I372" s="560"/>
      <c r="J372" s="560"/>
      <c r="K372" s="560"/>
      <c r="L372" s="289"/>
    </row>
    <row r="373" spans="1:12" s="179" customFormat="1" ht="13.15" customHeight="1" x14ac:dyDescent="0.2">
      <c r="A373" s="227"/>
      <c r="B373" s="184" t="s">
        <v>33</v>
      </c>
      <c r="C373" s="185"/>
      <c r="D373" s="439" t="str">
        <f>PLANILHA!C63</f>
        <v>COBERTURA</v>
      </c>
      <c r="E373" s="439"/>
      <c r="F373" s="439"/>
      <c r="G373" s="439"/>
      <c r="H373" s="439"/>
      <c r="I373" s="439"/>
      <c r="J373" s="439"/>
      <c r="K373" s="439"/>
      <c r="L373" s="597"/>
    </row>
    <row r="374" spans="1:12" s="179" customFormat="1" ht="24" customHeight="1" x14ac:dyDescent="0.2">
      <c r="A374" s="227"/>
      <c r="B374" s="229" t="s">
        <v>34</v>
      </c>
      <c r="C374" s="170" t="str">
        <f>PLANILHA!$B$64</f>
        <v>16.004.0055-A</v>
      </c>
      <c r="D374" s="372" t="str">
        <f>PLANILHA!$C$64</f>
        <v>CONDUTOR CIRCULAR PARA CALHA DE BEIRAL DE PVC,DN 88,INCLUSIVE CONEXOES.FORNECIMENTO E COLOCACAO 3%-DESGASTE DE FERRAMENTAS E EPI</v>
      </c>
      <c r="E374" s="373"/>
      <c r="F374" s="373"/>
      <c r="G374" s="373"/>
      <c r="H374" s="373"/>
      <c r="I374" s="373"/>
      <c r="J374" s="373"/>
      <c r="K374" s="373"/>
      <c r="L374" s="374"/>
    </row>
    <row r="375" spans="1:12" s="179" customFormat="1" ht="15.75" customHeight="1" x14ac:dyDescent="0.2">
      <c r="A375" s="227"/>
      <c r="B375" s="231"/>
      <c r="C375" s="552"/>
      <c r="D375" s="545"/>
      <c r="E375" s="546"/>
      <c r="F375" s="546"/>
      <c r="G375" s="290"/>
      <c r="H375" s="290"/>
      <c r="I375" s="546"/>
      <c r="J375" s="546"/>
      <c r="K375" s="546"/>
      <c r="L375" s="234"/>
    </row>
    <row r="376" spans="1:12" s="179" customFormat="1" x14ac:dyDescent="0.2">
      <c r="A376" s="227"/>
      <c r="B376" s="180"/>
      <c r="C376" s="519"/>
      <c r="D376" s="519"/>
      <c r="E376" s="520"/>
      <c r="F376" s="291"/>
      <c r="G376" s="189"/>
      <c r="H376" s="189" t="s">
        <v>23</v>
      </c>
      <c r="I376" s="527" t="s">
        <v>255</v>
      </c>
      <c r="J376" s="527"/>
      <c r="K376" s="527"/>
      <c r="L376" s="369"/>
    </row>
    <row r="377" spans="1:12" s="179" customFormat="1" x14ac:dyDescent="0.2">
      <c r="A377" s="227"/>
      <c r="B377" s="180"/>
      <c r="C377" s="519"/>
      <c r="D377" s="519"/>
      <c r="E377" s="520"/>
      <c r="F377" s="291"/>
      <c r="G377" s="241" t="s">
        <v>369</v>
      </c>
      <c r="H377" s="241">
        <v>15</v>
      </c>
      <c r="I377" s="522" t="s">
        <v>370</v>
      </c>
      <c r="J377" s="522"/>
      <c r="K377" s="522"/>
      <c r="L377" s="357"/>
    </row>
    <row r="378" spans="1:12" s="179" customFormat="1" x14ac:dyDescent="0.2">
      <c r="A378" s="227"/>
      <c r="B378" s="180"/>
      <c r="C378" s="519"/>
      <c r="D378" s="519"/>
      <c r="E378" s="523"/>
      <c r="F378" s="240"/>
      <c r="G378" s="292" t="s">
        <v>38</v>
      </c>
      <c r="H378" s="292">
        <f>ROUND(SUM(H374:H377),2)</f>
        <v>15</v>
      </c>
      <c r="I378" s="436" t="s">
        <v>23</v>
      </c>
      <c r="J378" s="572"/>
      <c r="K378" s="572"/>
      <c r="L378" s="437"/>
    </row>
    <row r="379" spans="1:12" s="179" customFormat="1" x14ac:dyDescent="0.2">
      <c r="A379" s="227"/>
      <c r="B379" s="180"/>
      <c r="C379" s="519"/>
      <c r="D379" s="519"/>
      <c r="E379" s="523"/>
      <c r="F379" s="523"/>
      <c r="G379" s="254"/>
      <c r="H379" s="254"/>
      <c r="I379" s="573"/>
      <c r="J379" s="573"/>
      <c r="K379" s="573"/>
      <c r="L379" s="293"/>
    </row>
    <row r="380" spans="1:12" s="179" customFormat="1" ht="69" customHeight="1" x14ac:dyDescent="0.2">
      <c r="A380" s="227"/>
      <c r="B380" s="229" t="s">
        <v>84</v>
      </c>
      <c r="C380" s="170" t="str">
        <f>PLANILHA!$B$65</f>
        <v>16.024.0004-A</v>
      </c>
      <c r="D380" s="372" t="str">
        <f>PLANILHA!$C$65</f>
        <v>IMPERMEABILIZACAO DE AREA EXPOSTA S/PROTECAO MECANICA E S/TRANSITO,USANDO MANTA ASFALTICA,AUTOPROTEGIDA,C/ACABAMENTO POLETILENO NA FACE INFERIOR E FILME DE ALUMINIO NA FACE SUPERIOR,TIPO III-B C/ESP.3MM,APLICADA C/CHAMA DE MACARICO SOBRE PRIMER ASFALTICO,BASE AGUA ISENTO SOLVENTES,INCL.ESTE,SUBSTRATO C/CAIMENTO MINIMO 1%,EXCL.REGULARIZACAO,CONF.ABNT NBR 9952 3%-DESGASTE DE FERRAMENTAS E EPI</v>
      </c>
      <c r="E380" s="373"/>
      <c r="F380" s="373"/>
      <c r="G380" s="373"/>
      <c r="H380" s="373"/>
      <c r="I380" s="373"/>
      <c r="J380" s="373"/>
      <c r="K380" s="373"/>
      <c r="L380" s="374"/>
    </row>
    <row r="381" spans="1:12" s="179" customFormat="1" x14ac:dyDescent="0.2">
      <c r="A381" s="227"/>
      <c r="B381" s="231"/>
      <c r="C381" s="552"/>
      <c r="D381" s="545"/>
      <c r="E381" s="546"/>
      <c r="F381" s="546"/>
      <c r="G381" s="290"/>
      <c r="H381" s="290"/>
      <c r="I381" s="546"/>
      <c r="J381" s="546"/>
      <c r="K381" s="546"/>
      <c r="L381" s="234"/>
    </row>
    <row r="382" spans="1:12" s="179" customFormat="1" ht="12.75" customHeight="1" x14ac:dyDescent="0.25">
      <c r="A382" s="227"/>
      <c r="B382" s="180"/>
      <c r="C382" s="519"/>
      <c r="D382" s="519"/>
      <c r="E382" s="526"/>
      <c r="F382" s="526"/>
      <c r="G382" s="252" t="s">
        <v>258</v>
      </c>
      <c r="H382" s="189" t="s">
        <v>25</v>
      </c>
      <c r="I382" s="527" t="s">
        <v>255</v>
      </c>
      <c r="J382" s="527"/>
      <c r="K382" s="527"/>
      <c r="L382" s="369"/>
    </row>
    <row r="383" spans="1:12" s="179" customFormat="1" ht="12.75" customHeight="1" x14ac:dyDescent="0.25">
      <c r="A383" s="227"/>
      <c r="B383" s="180"/>
      <c r="C383" s="519"/>
      <c r="D383" s="519"/>
      <c r="E383" s="526"/>
      <c r="F383" s="526"/>
      <c r="G383" s="235" t="s">
        <v>371</v>
      </c>
      <c r="H383" s="241">
        <v>5</v>
      </c>
      <c r="I383" s="522" t="s">
        <v>372</v>
      </c>
      <c r="J383" s="522"/>
      <c r="K383" s="522"/>
      <c r="L383" s="357"/>
    </row>
    <row r="384" spans="1:12" s="179" customFormat="1" x14ac:dyDescent="0.2">
      <c r="A384" s="227"/>
      <c r="B384" s="180"/>
      <c r="C384" s="519"/>
      <c r="D384" s="519"/>
      <c r="E384" s="523"/>
      <c r="F384" s="523"/>
      <c r="G384" s="192" t="s">
        <v>38</v>
      </c>
      <c r="H384" s="192">
        <f>H383</f>
        <v>5</v>
      </c>
      <c r="I384" s="523"/>
      <c r="J384" s="523"/>
      <c r="K384" s="523"/>
      <c r="L384" s="191"/>
    </row>
    <row r="385" spans="1:12" s="179" customFormat="1" x14ac:dyDescent="0.2">
      <c r="A385" s="227"/>
      <c r="B385" s="180"/>
      <c r="C385" s="519"/>
      <c r="D385" s="519"/>
      <c r="E385" s="523"/>
      <c r="F385" s="523"/>
      <c r="G385" s="254"/>
      <c r="H385" s="254"/>
      <c r="I385" s="523"/>
      <c r="J385" s="523"/>
      <c r="K385" s="523"/>
      <c r="L385" s="191"/>
    </row>
    <row r="386" spans="1:12" s="179" customFormat="1" x14ac:dyDescent="0.2">
      <c r="A386" s="227"/>
      <c r="B386" s="229" t="str">
        <f>PLANILHA!$A$66</f>
        <v>8.3</v>
      </c>
      <c r="C386" s="170" t="str">
        <f>PLANILHA!$B$66</f>
        <v>16.005.0027-A</v>
      </c>
      <c r="D386" s="372" t="str">
        <f>PLANILHA!$C$66</f>
        <v>RUFO DE GALVALUME COM MEDIDAS APROXIMADAS DE (0,7X500)MM.FORNECIMENTO E COLOCACAO</v>
      </c>
      <c r="E386" s="373"/>
      <c r="F386" s="373"/>
      <c r="G386" s="373"/>
      <c r="H386" s="373"/>
      <c r="I386" s="373"/>
      <c r="J386" s="373"/>
      <c r="K386" s="373"/>
      <c r="L386" s="374"/>
    </row>
    <row r="387" spans="1:12" s="179" customFormat="1" x14ac:dyDescent="0.2">
      <c r="A387" s="227"/>
      <c r="B387" s="231"/>
      <c r="C387" s="552"/>
      <c r="D387" s="545"/>
      <c r="E387" s="546"/>
      <c r="F387" s="546"/>
      <c r="G387" s="290"/>
      <c r="H387" s="290"/>
      <c r="I387" s="546"/>
      <c r="J387" s="546"/>
      <c r="K387" s="546"/>
      <c r="L387" s="234"/>
    </row>
    <row r="388" spans="1:12" s="179" customFormat="1" ht="15" x14ac:dyDescent="0.25">
      <c r="A388" s="227"/>
      <c r="B388" s="180"/>
      <c r="C388" s="519"/>
      <c r="D388" s="519"/>
      <c r="E388" s="526"/>
      <c r="F388" s="526"/>
      <c r="G388" s="252" t="s">
        <v>258</v>
      </c>
      <c r="H388" s="189" t="s">
        <v>23</v>
      </c>
      <c r="I388" s="527" t="s">
        <v>255</v>
      </c>
      <c r="J388" s="527"/>
      <c r="K388" s="527"/>
      <c r="L388" s="369"/>
    </row>
    <row r="389" spans="1:12" s="179" customFormat="1" ht="15" x14ac:dyDescent="0.25">
      <c r="A389" s="227"/>
      <c r="B389" s="180"/>
      <c r="C389" s="519"/>
      <c r="D389" s="519"/>
      <c r="E389" s="526"/>
      <c r="F389" s="526"/>
      <c r="G389" s="235" t="s">
        <v>373</v>
      </c>
      <c r="H389" s="241">
        <v>87.45</v>
      </c>
      <c r="I389" s="522" t="s">
        <v>372</v>
      </c>
      <c r="J389" s="522"/>
      <c r="K389" s="522"/>
      <c r="L389" s="357"/>
    </row>
    <row r="390" spans="1:12" s="179" customFormat="1" x14ac:dyDescent="0.2">
      <c r="A390" s="227"/>
      <c r="B390" s="180"/>
      <c r="C390" s="519"/>
      <c r="D390" s="519"/>
      <c r="E390" s="523"/>
      <c r="F390" s="523"/>
      <c r="G390" s="192" t="s">
        <v>38</v>
      </c>
      <c r="H390" s="192">
        <f>H389</f>
        <v>87.45</v>
      </c>
      <c r="I390" s="523"/>
      <c r="J390" s="523"/>
      <c r="K390" s="523"/>
      <c r="L390" s="191"/>
    </row>
    <row r="391" spans="1:12" s="179" customFormat="1" x14ac:dyDescent="0.2">
      <c r="A391" s="227"/>
      <c r="B391" s="180"/>
      <c r="C391" s="519"/>
      <c r="D391" s="519"/>
      <c r="E391" s="523"/>
      <c r="F391" s="523"/>
      <c r="G391" s="254"/>
      <c r="H391" s="254"/>
      <c r="I391" s="523"/>
      <c r="J391" s="523"/>
      <c r="K391" s="523"/>
      <c r="L391" s="191"/>
    </row>
    <row r="392" spans="1:12" s="179" customFormat="1" ht="13.15" customHeight="1" x14ac:dyDescent="0.2">
      <c r="A392" s="227"/>
      <c r="B392" s="184" t="s">
        <v>24</v>
      </c>
      <c r="C392" s="185"/>
      <c r="D392" s="349" t="str">
        <f>PLANILHA!C69</f>
        <v>MURO DE CONTENÇÃO</v>
      </c>
      <c r="E392" s="349"/>
      <c r="F392" s="349"/>
      <c r="G392" s="349"/>
      <c r="H392" s="349"/>
      <c r="I392" s="349"/>
      <c r="J392" s="349"/>
      <c r="K392" s="349"/>
      <c r="L392" s="350"/>
    </row>
    <row r="393" spans="1:12" s="179" customFormat="1" ht="32.450000000000003" customHeight="1" x14ac:dyDescent="0.2">
      <c r="A393" s="227"/>
      <c r="B393" s="229" t="str">
        <f>PLANILHA!$A$70</f>
        <v>9.1</v>
      </c>
      <c r="C393" s="170" t="str">
        <f>PLANILHA!$B$70</f>
        <v>11.026.0030-A</v>
      </c>
      <c r="D393" s="372" t="str">
        <f>PLANILHA!$C$70</f>
        <v>MURO DE CONTENCAO DE TALUDES EM ALVENARIA DE BLOCO DE CONCRETO ESTRUTURAL DE(19X19X39)CM,ATE 1,80M DE ALTURA,INCLUINDO BASE DE CONCRETO,ACO CA-50 E ENCHIMENTO DE BLOCOS E MEDIDO PELA AREA REAL</v>
      </c>
      <c r="E393" s="373"/>
      <c r="F393" s="373"/>
      <c r="G393" s="373"/>
      <c r="H393" s="373"/>
      <c r="I393" s="373"/>
      <c r="J393" s="373"/>
      <c r="K393" s="373"/>
      <c r="L393" s="374"/>
    </row>
    <row r="394" spans="1:12" s="179" customFormat="1" x14ac:dyDescent="0.2">
      <c r="A394" s="227"/>
      <c r="B394" s="231"/>
      <c r="C394" s="552"/>
      <c r="D394" s="545"/>
      <c r="E394" s="232"/>
      <c r="F394" s="232"/>
      <c r="G394" s="232"/>
      <c r="H394" s="233"/>
      <c r="I394" s="546"/>
      <c r="J394" s="546"/>
      <c r="K394" s="546"/>
      <c r="L394" s="234"/>
    </row>
    <row r="395" spans="1:12" s="179" customFormat="1" x14ac:dyDescent="0.2">
      <c r="A395" s="227"/>
      <c r="B395" s="180"/>
      <c r="C395" s="519"/>
      <c r="D395" s="519"/>
      <c r="E395" s="189" t="s">
        <v>258</v>
      </c>
      <c r="F395" s="250" t="s">
        <v>259</v>
      </c>
      <c r="G395" s="250" t="s">
        <v>252</v>
      </c>
      <c r="H395" s="189" t="s">
        <v>25</v>
      </c>
      <c r="I395" s="527" t="s">
        <v>255</v>
      </c>
      <c r="J395" s="527"/>
      <c r="K395" s="527"/>
      <c r="L395" s="369"/>
    </row>
    <row r="396" spans="1:12" s="179" customFormat="1" x14ac:dyDescent="0.2">
      <c r="A396" s="227"/>
      <c r="B396" s="180"/>
      <c r="C396" s="519"/>
      <c r="D396" s="519"/>
      <c r="E396" s="189" t="s">
        <v>260</v>
      </c>
      <c r="F396" s="294">
        <v>2</v>
      </c>
      <c r="G396" s="294">
        <v>31</v>
      </c>
      <c r="H396" s="189">
        <f>F396*G396</f>
        <v>62</v>
      </c>
      <c r="I396" s="356"/>
      <c r="J396" s="522"/>
      <c r="K396" s="522"/>
      <c r="L396" s="357"/>
    </row>
    <row r="397" spans="1:12" s="179" customFormat="1" ht="15" x14ac:dyDescent="0.25">
      <c r="A397" s="227"/>
      <c r="B397" s="180"/>
      <c r="C397" s="519"/>
      <c r="D397" s="519"/>
      <c r="E397" s="520"/>
      <c r="F397" s="526"/>
      <c r="G397" s="251" t="s">
        <v>38</v>
      </c>
      <c r="H397" s="192">
        <f>H396</f>
        <v>62</v>
      </c>
      <c r="I397" s="523"/>
      <c r="J397" s="523"/>
      <c r="K397" s="523"/>
      <c r="L397" s="191"/>
    </row>
    <row r="398" spans="1:12" s="179" customFormat="1" x14ac:dyDescent="0.2">
      <c r="A398" s="227"/>
      <c r="B398" s="180"/>
      <c r="C398" s="519"/>
      <c r="D398" s="519"/>
      <c r="E398" s="523"/>
      <c r="F398" s="523"/>
      <c r="G398" s="282"/>
      <c r="H398" s="295"/>
      <c r="I398" s="573"/>
      <c r="J398" s="573"/>
      <c r="K398" s="573"/>
      <c r="L398" s="293"/>
    </row>
    <row r="399" spans="1:12" s="179" customFormat="1" ht="20.25" customHeight="1" x14ac:dyDescent="0.2">
      <c r="A399" s="227"/>
      <c r="B399" s="229" t="str">
        <f>PLANILHA!$A$71</f>
        <v>9.2</v>
      </c>
      <c r="C399" s="170" t="str">
        <f>PLANILHA!$B$71</f>
        <v>20.038.0010-A</v>
      </c>
      <c r="D399" s="372" t="str">
        <f>PLANILHA!$C$71</f>
        <v>DRENO RASO COM PEDRA BRITADA E MANTA GEOTEXTIL,INCLUSIVE ESCAVACAO E FORNECIMENTO DOS MATERIAIS3%-DESGASTE DE FERRAMENTAS E EPI</v>
      </c>
      <c r="E399" s="373"/>
      <c r="F399" s="373"/>
      <c r="G399" s="373"/>
      <c r="H399" s="373"/>
      <c r="I399" s="373"/>
      <c r="J399" s="373"/>
      <c r="K399" s="373"/>
      <c r="L399" s="374"/>
    </row>
    <row r="400" spans="1:12" s="179" customFormat="1" x14ac:dyDescent="0.2">
      <c r="A400" s="227"/>
      <c r="B400" s="180"/>
      <c r="C400" s="547"/>
      <c r="D400" s="519"/>
      <c r="E400" s="523"/>
      <c r="F400" s="523"/>
      <c r="G400" s="254"/>
      <c r="H400" s="295"/>
      <c r="I400" s="573"/>
      <c r="J400" s="573"/>
      <c r="K400" s="573"/>
      <c r="L400" s="293"/>
    </row>
    <row r="401" spans="1:16" s="179" customFormat="1" x14ac:dyDescent="0.2">
      <c r="A401" s="227"/>
      <c r="B401" s="180"/>
      <c r="C401" s="547"/>
      <c r="D401" s="519"/>
      <c r="E401" s="523"/>
      <c r="F401" s="523"/>
      <c r="G401" s="296"/>
      <c r="H401" s="189" t="s">
        <v>23</v>
      </c>
      <c r="I401" s="527" t="s">
        <v>255</v>
      </c>
      <c r="J401" s="527"/>
      <c r="K401" s="527"/>
      <c r="L401" s="369"/>
    </row>
    <row r="402" spans="1:16" s="179" customFormat="1" ht="14.25" customHeight="1" x14ac:dyDescent="0.2">
      <c r="A402" s="227"/>
      <c r="B402" s="180"/>
      <c r="C402" s="547"/>
      <c r="D402" s="519"/>
      <c r="E402" s="523"/>
      <c r="F402" s="523"/>
      <c r="G402" s="296"/>
      <c r="H402" s="297">
        <v>31</v>
      </c>
      <c r="I402" s="573"/>
      <c r="J402" s="574" t="s">
        <v>374</v>
      </c>
      <c r="K402" s="574"/>
      <c r="L402" s="440"/>
    </row>
    <row r="403" spans="1:16" s="179" customFormat="1" x14ac:dyDescent="0.2">
      <c r="A403" s="227"/>
      <c r="B403" s="231"/>
      <c r="C403" s="532"/>
      <c r="D403" s="545"/>
      <c r="E403" s="523"/>
      <c r="F403" s="523"/>
      <c r="G403" s="192" t="s">
        <v>38</v>
      </c>
      <c r="H403" s="192">
        <f>H402</f>
        <v>31</v>
      </c>
      <c r="I403" s="546"/>
      <c r="J403" s="546"/>
      <c r="K403" s="546"/>
      <c r="L403" s="234"/>
    </row>
    <row r="404" spans="1:16" s="179" customFormat="1" x14ac:dyDescent="0.2">
      <c r="A404" s="227"/>
      <c r="B404" s="231"/>
      <c r="C404" s="532"/>
      <c r="D404" s="545"/>
      <c r="E404" s="523"/>
      <c r="F404" s="523"/>
      <c r="G404" s="233"/>
      <c r="H404" s="233"/>
      <c r="I404" s="546"/>
      <c r="J404" s="546"/>
      <c r="K404" s="546"/>
      <c r="L404" s="234"/>
    </row>
    <row r="405" spans="1:16" s="179" customFormat="1" x14ac:dyDescent="0.2">
      <c r="A405" s="227"/>
      <c r="B405" s="229" t="str">
        <f>PLANILHA!$A$72</f>
        <v>9.3</v>
      </c>
      <c r="C405" s="170" t="str">
        <f>PLANILHA!$B$72</f>
        <v>13.001.0020-B</v>
      </c>
      <c r="D405" s="372" t="str">
        <f>PLANILHA!$C$72</f>
        <v>EMBOCO COM ARGAMASSA DE CIMENTO E AREIA,NO TRACO 1:2 COM 1,5 CM DE ESPESSURA,INCLUSIVE CHAPISCO DE CIMENTO E AREIA,NO TRACO 1:3 3%-DESGASTE DE FERRAMENTAS E EPI</v>
      </c>
      <c r="E405" s="373"/>
      <c r="F405" s="373"/>
      <c r="G405" s="373"/>
      <c r="H405" s="373"/>
      <c r="I405" s="373"/>
      <c r="J405" s="373"/>
      <c r="K405" s="373"/>
      <c r="L405" s="374"/>
    </row>
    <row r="406" spans="1:16" s="179" customFormat="1" x14ac:dyDescent="0.2">
      <c r="A406" s="227"/>
      <c r="B406" s="180"/>
      <c r="C406" s="547"/>
      <c r="D406" s="519"/>
      <c r="E406" s="523"/>
      <c r="F406" s="523"/>
      <c r="G406" s="254"/>
      <c r="H406" s="295"/>
      <c r="I406" s="573"/>
      <c r="J406" s="573"/>
      <c r="K406" s="573"/>
      <c r="L406" s="293"/>
    </row>
    <row r="407" spans="1:16" s="179" customFormat="1" x14ac:dyDescent="0.2">
      <c r="A407" s="227"/>
      <c r="B407" s="180"/>
      <c r="C407" s="519"/>
      <c r="D407" s="189" t="s">
        <v>258</v>
      </c>
      <c r="E407" s="250" t="s">
        <v>375</v>
      </c>
      <c r="F407" s="250" t="s">
        <v>259</v>
      </c>
      <c r="G407" s="250" t="s">
        <v>252</v>
      </c>
      <c r="H407" s="189" t="s">
        <v>25</v>
      </c>
      <c r="I407" s="527" t="s">
        <v>255</v>
      </c>
      <c r="J407" s="527"/>
      <c r="K407" s="527"/>
      <c r="L407" s="369"/>
    </row>
    <row r="408" spans="1:16" s="179" customFormat="1" x14ac:dyDescent="0.2">
      <c r="A408" s="227"/>
      <c r="B408" s="180"/>
      <c r="C408" s="519"/>
      <c r="D408" s="189" t="s">
        <v>260</v>
      </c>
      <c r="E408" s="250">
        <v>2</v>
      </c>
      <c r="F408" s="294">
        <v>2</v>
      </c>
      <c r="G408" s="294">
        <v>31</v>
      </c>
      <c r="H408" s="297">
        <f>F408*G408*E408</f>
        <v>124</v>
      </c>
      <c r="I408" s="356"/>
      <c r="J408" s="522"/>
      <c r="K408" s="522"/>
      <c r="L408" s="357"/>
    </row>
    <row r="409" spans="1:16" s="179" customFormat="1" ht="15" x14ac:dyDescent="0.25">
      <c r="A409" s="227"/>
      <c r="B409" s="231"/>
      <c r="C409" s="552"/>
      <c r="D409" s="545"/>
      <c r="E409" s="520"/>
      <c r="F409" s="526"/>
      <c r="G409" s="251" t="s">
        <v>38</v>
      </c>
      <c r="H409" s="192">
        <f>H408</f>
        <v>124</v>
      </c>
      <c r="I409" s="523"/>
      <c r="J409" s="523"/>
      <c r="K409" s="523"/>
      <c r="L409" s="191"/>
    </row>
    <row r="410" spans="1:16" s="179" customFormat="1" ht="15" x14ac:dyDescent="0.25">
      <c r="A410" s="227"/>
      <c r="B410" s="231"/>
      <c r="C410" s="552"/>
      <c r="D410" s="545"/>
      <c r="E410" s="520"/>
      <c r="F410" s="526"/>
      <c r="G410" s="242"/>
      <c r="H410" s="282"/>
      <c r="I410" s="523"/>
      <c r="J410" s="523"/>
      <c r="K410" s="523"/>
      <c r="L410" s="191"/>
    </row>
    <row r="411" spans="1:16" s="179" customFormat="1" x14ac:dyDescent="0.2">
      <c r="A411" s="227"/>
      <c r="B411" s="229" t="str">
        <f>PLANILHA!$A$73</f>
        <v>9.4</v>
      </c>
      <c r="C411" s="170">
        <v>6913</v>
      </c>
      <c r="D411" s="372" t="s">
        <v>233</v>
      </c>
      <c r="E411" s="373"/>
      <c r="F411" s="373"/>
      <c r="G411" s="373"/>
      <c r="H411" s="373"/>
      <c r="I411" s="373"/>
      <c r="J411" s="373"/>
      <c r="K411" s="373"/>
      <c r="L411" s="374"/>
    </row>
    <row r="412" spans="1:16" s="179" customFormat="1" ht="15" x14ac:dyDescent="0.25">
      <c r="A412" s="227"/>
      <c r="B412" s="231"/>
      <c r="C412" s="552"/>
      <c r="D412" s="545"/>
      <c r="E412" s="520"/>
      <c r="F412" s="526"/>
      <c r="G412" s="242"/>
      <c r="H412" s="282"/>
      <c r="I412" s="523"/>
      <c r="J412" s="523"/>
      <c r="K412" s="523"/>
      <c r="L412" s="191"/>
    </row>
    <row r="413" spans="1:16" s="179" customFormat="1" x14ac:dyDescent="0.2">
      <c r="A413" s="227"/>
      <c r="B413" s="231"/>
      <c r="C413" s="189" t="s">
        <v>258</v>
      </c>
      <c r="D413" s="250" t="s">
        <v>259</v>
      </c>
      <c r="E413" s="250" t="s">
        <v>252</v>
      </c>
      <c r="F413" s="189" t="s">
        <v>25</v>
      </c>
      <c r="G413" s="298" t="s">
        <v>376</v>
      </c>
      <c r="H413" s="298" t="s">
        <v>230</v>
      </c>
      <c r="I413" s="527" t="s">
        <v>255</v>
      </c>
      <c r="J413" s="527"/>
      <c r="K413" s="527"/>
      <c r="L413" s="369"/>
      <c r="O413" s="179">
        <v>7.5</v>
      </c>
      <c r="P413" s="179" t="s">
        <v>377</v>
      </c>
    </row>
    <row r="414" spans="1:16" s="179" customFormat="1" x14ac:dyDescent="0.2">
      <c r="A414" s="227"/>
      <c r="B414" s="231"/>
      <c r="C414" s="189" t="s">
        <v>260</v>
      </c>
      <c r="D414" s="294">
        <v>1.31</v>
      </c>
      <c r="E414" s="294">
        <v>31</v>
      </c>
      <c r="F414" s="189">
        <f>D414*E414</f>
        <v>40.61</v>
      </c>
      <c r="G414" s="250">
        <v>7.5</v>
      </c>
      <c r="H414" s="575">
        <f>F414/G414</f>
        <v>5.4146666666666663</v>
      </c>
      <c r="I414" s="356"/>
      <c r="J414" s="522"/>
      <c r="K414" s="522"/>
      <c r="L414" s="357"/>
    </row>
    <row r="415" spans="1:16" s="179" customFormat="1" ht="15" x14ac:dyDescent="0.25">
      <c r="A415" s="227"/>
      <c r="B415" s="231"/>
      <c r="C415" s="545"/>
      <c r="D415" s="520"/>
      <c r="E415" s="526"/>
      <c r="F415" s="530"/>
      <c r="G415" s="192" t="s">
        <v>38</v>
      </c>
      <c r="H415" s="299">
        <f>H414</f>
        <v>5.4146666666666663</v>
      </c>
      <c r="I415" s="523"/>
      <c r="J415" s="523"/>
      <c r="K415" s="523"/>
      <c r="L415" s="191"/>
    </row>
    <row r="416" spans="1:16" s="179" customFormat="1" ht="15" x14ac:dyDescent="0.25">
      <c r="A416" s="227"/>
      <c r="B416" s="231"/>
      <c r="C416" s="552"/>
      <c r="D416" s="545"/>
      <c r="E416" s="520"/>
      <c r="F416" s="526"/>
      <c r="G416" s="242"/>
      <c r="H416" s="282"/>
      <c r="I416" s="523"/>
      <c r="J416" s="523"/>
      <c r="K416" s="523"/>
      <c r="L416" s="191"/>
    </row>
    <row r="417" spans="1:16" s="179" customFormat="1" ht="15" x14ac:dyDescent="0.25">
      <c r="A417" s="227"/>
      <c r="B417" s="231"/>
      <c r="C417" s="552"/>
      <c r="D417" s="545"/>
      <c r="E417" s="520"/>
      <c r="F417" s="526"/>
      <c r="G417" s="242"/>
      <c r="H417" s="282"/>
      <c r="I417" s="523"/>
      <c r="J417" s="523"/>
      <c r="K417" s="523"/>
      <c r="L417" s="191"/>
      <c r="P417" s="179">
        <v>30.07</v>
      </c>
    </row>
    <row r="418" spans="1:16" s="179" customFormat="1" ht="13.15" customHeight="1" x14ac:dyDescent="0.2">
      <c r="A418" s="227"/>
      <c r="B418" s="184" t="s">
        <v>36</v>
      </c>
      <c r="C418" s="185"/>
      <c r="D418" s="349" t="str">
        <f>PLANILHA!C76</f>
        <v>RECOMPOSIÇÃO DE JARDINS</v>
      </c>
      <c r="E418" s="349"/>
      <c r="F418" s="349"/>
      <c r="G418" s="349"/>
      <c r="H418" s="349"/>
      <c r="I418" s="349"/>
      <c r="J418" s="349"/>
      <c r="K418" s="349"/>
      <c r="L418" s="350"/>
    </row>
    <row r="419" spans="1:16" s="179" customFormat="1" ht="45" customHeight="1" x14ac:dyDescent="0.2">
      <c r="A419" s="227"/>
      <c r="B419" s="186" t="s">
        <v>37</v>
      </c>
      <c r="C419" s="196" t="str">
        <f>PLANILHA!$B$77</f>
        <v>17.040.0021-A</v>
      </c>
      <c r="D419" s="352" t="str">
        <f>PLANILHA!$C$77</f>
        <v>MARCACAO DE QUADRA DE ESPORTE OU VAGA DE GARAGEM COM TINTA ACRILICA PROPRIA PARA PINTURA DE PISOS,COM UTILIZACAO DE SELADOR E SOLVENTE PROPRIO E FITA CREPE COMO LIMITADOR DE LINHAS ,MEDIDA PELA AREA REAL DE PINTURA 3%-DESGASTE DE FERRAMENTAS E EPI</v>
      </c>
      <c r="E419" s="352"/>
      <c r="F419" s="352"/>
      <c r="G419" s="352"/>
      <c r="H419" s="352"/>
      <c r="I419" s="352"/>
      <c r="J419" s="352"/>
      <c r="K419" s="352"/>
      <c r="L419" s="353"/>
    </row>
    <row r="420" spans="1:16" s="179" customFormat="1" x14ac:dyDescent="0.2">
      <c r="A420" s="227"/>
      <c r="B420" s="180"/>
      <c r="C420" s="547"/>
      <c r="D420" s="520"/>
      <c r="E420" s="520"/>
      <c r="F420" s="520"/>
      <c r="G420" s="520"/>
      <c r="H420" s="521"/>
      <c r="I420" s="522"/>
      <c r="J420" s="522"/>
      <c r="K420" s="522"/>
      <c r="L420" s="357"/>
    </row>
    <row r="421" spans="1:16" s="179" customFormat="1" ht="12.75" customHeight="1" x14ac:dyDescent="0.2">
      <c r="A421" s="227"/>
      <c r="B421" s="180"/>
      <c r="C421" s="519"/>
      <c r="D421" s="530"/>
      <c r="E421" s="406" t="s">
        <v>258</v>
      </c>
      <c r="F421" s="407"/>
      <c r="G421" s="252" t="s">
        <v>378</v>
      </c>
      <c r="H421" s="200" t="s">
        <v>25</v>
      </c>
      <c r="I421" s="527" t="s">
        <v>255</v>
      </c>
      <c r="J421" s="527"/>
      <c r="K421" s="527"/>
      <c r="L421" s="369"/>
    </row>
    <row r="422" spans="1:16" s="179" customFormat="1" ht="12.75" customHeight="1" x14ac:dyDescent="0.2">
      <c r="A422" s="227"/>
      <c r="B422" s="180"/>
      <c r="C422" s="519"/>
      <c r="D422" s="530"/>
      <c r="E422" s="441" t="s">
        <v>379</v>
      </c>
      <c r="F422" s="442"/>
      <c r="G422" s="300" t="s">
        <v>380</v>
      </c>
      <c r="H422" s="241">
        <v>2.69</v>
      </c>
      <c r="I422" s="522" t="s">
        <v>381</v>
      </c>
      <c r="J422" s="522"/>
      <c r="K422" s="522"/>
      <c r="L422" s="357"/>
    </row>
    <row r="423" spans="1:16" s="179" customFormat="1" ht="32.25" customHeight="1" x14ac:dyDescent="0.2">
      <c r="A423" s="227"/>
      <c r="B423" s="180"/>
      <c r="C423" s="519"/>
      <c r="D423" s="530"/>
      <c r="E423" s="443"/>
      <c r="F423" s="444"/>
      <c r="G423" s="277" t="s">
        <v>380</v>
      </c>
      <c r="H423" s="284">
        <v>2.25</v>
      </c>
      <c r="I423" s="523"/>
      <c r="J423" s="522" t="s">
        <v>382</v>
      </c>
      <c r="K423" s="522"/>
      <c r="L423" s="357"/>
    </row>
    <row r="424" spans="1:16" s="179" customFormat="1" ht="11.25" customHeight="1" x14ac:dyDescent="0.2">
      <c r="A424" s="227"/>
      <c r="B424" s="180"/>
      <c r="C424" s="519"/>
      <c r="D424" s="530"/>
      <c r="E424" s="445"/>
      <c r="F424" s="446"/>
      <c r="G424" s="277" t="s">
        <v>380</v>
      </c>
      <c r="H424" s="284">
        <v>2.31</v>
      </c>
      <c r="I424" s="523"/>
      <c r="J424" s="522" t="s">
        <v>383</v>
      </c>
      <c r="K424" s="522"/>
      <c r="L424" s="357"/>
    </row>
    <row r="425" spans="1:16" s="179" customFormat="1" ht="15" x14ac:dyDescent="0.2">
      <c r="A425" s="227"/>
      <c r="B425" s="180"/>
      <c r="C425" s="519"/>
      <c r="D425" s="521"/>
      <c r="E425" s="523"/>
      <c r="F425" s="523"/>
      <c r="G425" s="301" t="s">
        <v>38</v>
      </c>
      <c r="H425" s="301">
        <f>H422+H423+H424</f>
        <v>7.25</v>
      </c>
      <c r="I425" s="576" t="s">
        <v>384</v>
      </c>
      <c r="J425" s="576"/>
      <c r="K425" s="576"/>
      <c r="L425" s="447"/>
    </row>
    <row r="426" spans="1:16" s="179" customFormat="1" x14ac:dyDescent="0.2">
      <c r="A426" s="227"/>
      <c r="B426" s="180"/>
      <c r="C426" s="519"/>
      <c r="D426" s="520"/>
      <c r="E426" s="520"/>
      <c r="F426" s="520"/>
      <c r="G426" s="520"/>
      <c r="H426" s="521"/>
      <c r="I426" s="530"/>
      <c r="J426" s="530"/>
      <c r="K426" s="530"/>
      <c r="L426" s="586"/>
    </row>
    <row r="427" spans="1:16" s="179" customFormat="1" ht="19.5" customHeight="1" x14ac:dyDescent="0.2">
      <c r="A427" s="227"/>
      <c r="B427" s="186" t="s">
        <v>218</v>
      </c>
      <c r="C427" s="196" t="str">
        <f>PLANILHA!$B$78</f>
        <v>09.003.0010-A</v>
      </c>
      <c r="D427" s="352" t="str">
        <f>PLANILHA!$C$78</f>
        <v>ARBUSTO PARA JARDINS,TIPO LANTANA (LANTANA CAMARA) OU SIMILAR,COM APROXIMADAMENTE 60CM DE ALTURA.FORNECIMENTO</v>
      </c>
      <c r="E427" s="352"/>
      <c r="F427" s="352"/>
      <c r="G427" s="352"/>
      <c r="H427" s="352"/>
      <c r="I427" s="352"/>
      <c r="J427" s="352"/>
      <c r="K427" s="352"/>
      <c r="L427" s="353"/>
    </row>
    <row r="428" spans="1:16" s="179" customFormat="1" x14ac:dyDescent="0.2">
      <c r="A428" s="227"/>
      <c r="B428" s="180"/>
      <c r="C428" s="547"/>
      <c r="D428" s="520"/>
      <c r="E428" s="520"/>
      <c r="F428" s="520"/>
      <c r="G428" s="520"/>
      <c r="H428" s="521"/>
      <c r="I428" s="522"/>
      <c r="J428" s="522"/>
      <c r="K428" s="522"/>
      <c r="L428" s="357"/>
    </row>
    <row r="429" spans="1:16" s="179" customFormat="1" ht="15" x14ac:dyDescent="0.25">
      <c r="A429" s="227"/>
      <c r="B429" s="180"/>
      <c r="C429" s="519"/>
      <c r="D429" s="530"/>
      <c r="E429" s="526"/>
      <c r="F429" s="526"/>
      <c r="G429" s="252" t="s">
        <v>258</v>
      </c>
      <c r="H429" s="200" t="s">
        <v>81</v>
      </c>
      <c r="I429" s="527" t="s">
        <v>255</v>
      </c>
      <c r="J429" s="527"/>
      <c r="K429" s="527"/>
      <c r="L429" s="369"/>
    </row>
    <row r="430" spans="1:16" s="179" customFormat="1" ht="15" x14ac:dyDescent="0.25">
      <c r="A430" s="227"/>
      <c r="B430" s="180"/>
      <c r="C430" s="519"/>
      <c r="D430" s="530"/>
      <c r="E430" s="526"/>
      <c r="F430" s="526"/>
      <c r="G430" s="450" t="s">
        <v>385</v>
      </c>
      <c r="H430" s="453">
        <v>24</v>
      </c>
      <c r="I430" s="522" t="s">
        <v>386</v>
      </c>
      <c r="J430" s="522"/>
      <c r="K430" s="522"/>
      <c r="L430" s="357"/>
    </row>
    <row r="431" spans="1:16" s="179" customFormat="1" ht="2.25" customHeight="1" x14ac:dyDescent="0.25">
      <c r="A431" s="227"/>
      <c r="B431" s="180"/>
      <c r="C431" s="519"/>
      <c r="D431" s="530"/>
      <c r="E431" s="526"/>
      <c r="F431" s="526"/>
      <c r="G431" s="451"/>
      <c r="H431" s="454"/>
      <c r="I431" s="523"/>
      <c r="J431" s="522"/>
      <c r="K431" s="522"/>
      <c r="L431" s="357"/>
    </row>
    <row r="432" spans="1:16" s="179" customFormat="1" ht="15" hidden="1" customHeight="1" x14ac:dyDescent="0.25">
      <c r="A432" s="227"/>
      <c r="B432" s="180"/>
      <c r="C432" s="519"/>
      <c r="D432" s="530"/>
      <c r="E432" s="526"/>
      <c r="F432" s="526"/>
      <c r="G432" s="452"/>
      <c r="H432" s="284"/>
      <c r="I432" s="523"/>
      <c r="J432" s="522"/>
      <c r="K432" s="522"/>
      <c r="L432" s="357"/>
    </row>
    <row r="433" spans="1:12" s="179" customFormat="1" ht="15" x14ac:dyDescent="0.2">
      <c r="A433" s="227"/>
      <c r="B433" s="180"/>
      <c r="C433" s="519"/>
      <c r="D433" s="521"/>
      <c r="E433" s="523"/>
      <c r="F433" s="523"/>
      <c r="G433" s="301" t="s">
        <v>38</v>
      </c>
      <c r="H433" s="301">
        <f>H430+H431+H432</f>
        <v>24</v>
      </c>
      <c r="I433" s="530"/>
      <c r="J433" s="530"/>
      <c r="K433" s="530"/>
      <c r="L433" s="586"/>
    </row>
    <row r="434" spans="1:12" s="179" customFormat="1" x14ac:dyDescent="0.2">
      <c r="A434" s="227"/>
      <c r="B434" s="180"/>
      <c r="C434" s="519"/>
      <c r="D434" s="520"/>
      <c r="E434" s="520"/>
      <c r="F434" s="520"/>
      <c r="G434" s="520"/>
      <c r="H434" s="521"/>
      <c r="I434" s="576" t="s">
        <v>384</v>
      </c>
      <c r="J434" s="576"/>
      <c r="K434" s="576"/>
      <c r="L434" s="447"/>
    </row>
    <row r="435" spans="1:12" s="179" customFormat="1" x14ac:dyDescent="0.2">
      <c r="A435" s="227"/>
      <c r="B435" s="186" t="s">
        <v>219</v>
      </c>
      <c r="C435" s="196" t="str">
        <f>PLANILHA!$B$79</f>
        <v>09.002.0010-A</v>
      </c>
      <c r="D435" s="352" t="str">
        <f>PLANILHA!$C$79</f>
        <v>PLANTIO DE ARBUSTOS DE 50 A 100CM DE ALTURA,FORMANDO JARDIM COM 6 UNIDADES POR METRO QUADRADO,EXCLUSIVE O FORNECIMENTO 3%-DESGASTE DE FERRAMENTAS E EPI</v>
      </c>
      <c r="E435" s="352"/>
      <c r="F435" s="352"/>
      <c r="G435" s="352"/>
      <c r="H435" s="352"/>
      <c r="I435" s="352"/>
      <c r="J435" s="352"/>
      <c r="K435" s="352"/>
      <c r="L435" s="353"/>
    </row>
    <row r="436" spans="1:12" s="179" customFormat="1" x14ac:dyDescent="0.2">
      <c r="A436" s="227"/>
      <c r="B436" s="216"/>
      <c r="C436" s="532"/>
      <c r="D436" s="534"/>
      <c r="E436" s="534"/>
      <c r="F436" s="534"/>
      <c r="G436" s="534"/>
      <c r="H436" s="534"/>
      <c r="I436" s="534"/>
      <c r="J436" s="534"/>
      <c r="K436" s="534"/>
      <c r="L436" s="208"/>
    </row>
    <row r="437" spans="1:12" s="179" customFormat="1" x14ac:dyDescent="0.2">
      <c r="A437" s="227"/>
      <c r="B437" s="216"/>
      <c r="C437" s="532"/>
      <c r="D437" s="534"/>
      <c r="E437" s="534"/>
      <c r="F437" s="534"/>
      <c r="G437" s="188" t="s">
        <v>258</v>
      </c>
      <c r="H437" s="302" t="s">
        <v>25</v>
      </c>
      <c r="I437" s="534"/>
      <c r="J437" s="534"/>
      <c r="K437" s="534"/>
      <c r="L437" s="208"/>
    </row>
    <row r="438" spans="1:12" s="179" customFormat="1" ht="32.25" customHeight="1" x14ac:dyDescent="0.2">
      <c r="A438" s="227"/>
      <c r="B438" s="216"/>
      <c r="C438" s="532"/>
      <c r="D438" s="534"/>
      <c r="E438" s="534"/>
      <c r="F438" s="534"/>
      <c r="G438" s="252" t="s">
        <v>387</v>
      </c>
      <c r="H438" s="297">
        <v>3.6</v>
      </c>
      <c r="I438" s="527" t="s">
        <v>255</v>
      </c>
      <c r="J438" s="527"/>
      <c r="K438" s="527"/>
      <c r="L438" s="369"/>
    </row>
    <row r="439" spans="1:12" s="179" customFormat="1" ht="30.75" customHeight="1" x14ac:dyDescent="0.2">
      <c r="A439" s="227"/>
      <c r="B439" s="216"/>
      <c r="C439" s="532"/>
      <c r="D439" s="534"/>
      <c r="E439" s="534"/>
      <c r="F439" s="534"/>
      <c r="G439" s="252" t="s">
        <v>388</v>
      </c>
      <c r="H439" s="297">
        <v>3.6</v>
      </c>
      <c r="I439" s="573"/>
      <c r="J439" s="573"/>
      <c r="K439" s="573"/>
      <c r="L439" s="293"/>
    </row>
    <row r="440" spans="1:12" s="179" customFormat="1" ht="15" x14ac:dyDescent="0.2">
      <c r="A440" s="227"/>
      <c r="B440" s="216"/>
      <c r="C440" s="532"/>
      <c r="D440" s="534"/>
      <c r="E440" s="534"/>
      <c r="F440" s="534"/>
      <c r="G440" s="301" t="s">
        <v>38</v>
      </c>
      <c r="H440" s="303">
        <f>SUM(H438,H439)</f>
        <v>7.2</v>
      </c>
      <c r="I440" s="546"/>
      <c r="J440" s="546"/>
      <c r="K440" s="546"/>
      <c r="L440" s="234"/>
    </row>
    <row r="441" spans="1:12" s="179" customFormat="1" ht="15" x14ac:dyDescent="0.2">
      <c r="A441" s="227"/>
      <c r="B441" s="216"/>
      <c r="C441" s="532"/>
      <c r="D441" s="534"/>
      <c r="E441" s="534"/>
      <c r="F441" s="534"/>
      <c r="G441" s="577"/>
      <c r="H441" s="578"/>
      <c r="I441" s="546"/>
      <c r="J441" s="546"/>
      <c r="K441" s="546"/>
      <c r="L441" s="234"/>
    </row>
    <row r="442" spans="1:12" s="179" customFormat="1" ht="15" x14ac:dyDescent="0.2">
      <c r="A442" s="227"/>
      <c r="B442" s="216"/>
      <c r="C442" s="532"/>
      <c r="D442" s="534"/>
      <c r="E442" s="534"/>
      <c r="F442" s="534"/>
      <c r="G442" s="577"/>
      <c r="H442" s="578"/>
      <c r="I442" s="546"/>
      <c r="J442" s="546"/>
      <c r="K442" s="546"/>
      <c r="L442" s="234"/>
    </row>
    <row r="443" spans="1:12" s="179" customFormat="1" ht="15" x14ac:dyDescent="0.2">
      <c r="A443" s="227"/>
      <c r="B443" s="216"/>
      <c r="C443" s="532"/>
      <c r="D443" s="534"/>
      <c r="E443" s="534"/>
      <c r="F443" s="534"/>
      <c r="G443" s="577"/>
      <c r="H443" s="578"/>
      <c r="I443" s="546"/>
      <c r="J443" s="546"/>
      <c r="K443" s="546"/>
      <c r="L443" s="234"/>
    </row>
    <row r="444" spans="1:12" s="179" customFormat="1" ht="15" x14ac:dyDescent="0.2">
      <c r="A444" s="227"/>
      <c r="B444" s="216"/>
      <c r="C444" s="532"/>
      <c r="D444" s="534"/>
      <c r="E444" s="534"/>
      <c r="F444" s="534"/>
      <c r="G444" s="577"/>
      <c r="H444" s="578"/>
      <c r="I444" s="546"/>
      <c r="J444" s="546"/>
      <c r="K444" s="546"/>
      <c r="L444" s="234"/>
    </row>
    <row r="445" spans="1:12" s="179" customFormat="1" x14ac:dyDescent="0.2">
      <c r="A445" s="227"/>
      <c r="B445" s="448" t="s">
        <v>389</v>
      </c>
      <c r="C445" s="579"/>
      <c r="D445" s="579"/>
      <c r="E445" s="579"/>
      <c r="F445" s="579"/>
      <c r="G445" s="579"/>
      <c r="H445" s="579"/>
      <c r="I445" s="579"/>
      <c r="J445" s="579"/>
      <c r="K445" s="579"/>
      <c r="L445" s="449"/>
    </row>
    <row r="446" spans="1:12" s="179" customFormat="1" ht="15" customHeight="1" x14ac:dyDescent="0.2">
      <c r="A446" s="227"/>
      <c r="B446" s="304"/>
      <c r="C446" s="580"/>
      <c r="D446" s="580"/>
      <c r="E446" s="579" t="s">
        <v>390</v>
      </c>
      <c r="F446" s="579"/>
      <c r="G446" s="579"/>
      <c r="H446" s="579"/>
      <c r="I446" s="579"/>
      <c r="J446" s="580"/>
      <c r="K446" s="580"/>
      <c r="L446" s="305"/>
    </row>
    <row r="447" spans="1:12" s="179" customFormat="1" x14ac:dyDescent="0.2">
      <c r="A447" s="227"/>
      <c r="B447" s="306"/>
      <c r="C447" s="581"/>
      <c r="D447" s="581"/>
      <c r="E447" s="581"/>
      <c r="F447" s="579" t="s">
        <v>391</v>
      </c>
      <c r="G447" s="579"/>
      <c r="H447" s="581"/>
      <c r="I447" s="581"/>
      <c r="J447" s="581"/>
      <c r="K447" s="581"/>
      <c r="L447" s="307"/>
    </row>
    <row r="448" spans="1:12" s="179" customFormat="1" ht="13.5" thickBot="1" x14ac:dyDescent="0.25">
      <c r="A448" s="227"/>
      <c r="B448" s="598"/>
      <c r="C448" s="599"/>
      <c r="D448" s="599"/>
      <c r="E448" s="599"/>
      <c r="F448" s="600" t="s">
        <v>392</v>
      </c>
      <c r="G448" s="600"/>
      <c r="H448" s="599"/>
      <c r="I448" s="599"/>
      <c r="J448" s="599"/>
      <c r="K448" s="599"/>
      <c r="L448" s="601"/>
    </row>
    <row r="449" spans="1:1" s="179" customFormat="1" x14ac:dyDescent="0.2">
      <c r="A449" s="227"/>
    </row>
    <row r="450" spans="1:1" s="179" customFormat="1" x14ac:dyDescent="0.2">
      <c r="A450" s="227"/>
    </row>
    <row r="451" spans="1:1" s="179" customFormat="1" x14ac:dyDescent="0.2">
      <c r="A451" s="227"/>
    </row>
    <row r="452" spans="1:1" s="179" customFormat="1" x14ac:dyDescent="0.2">
      <c r="A452" s="227"/>
    </row>
    <row r="453" spans="1:1" s="179" customFormat="1" x14ac:dyDescent="0.2">
      <c r="A453" s="227"/>
    </row>
    <row r="454" spans="1:1" s="179" customFormat="1" x14ac:dyDescent="0.2">
      <c r="A454" s="227"/>
    </row>
    <row r="455" spans="1:1" s="179" customFormat="1" x14ac:dyDescent="0.2">
      <c r="A455" s="227"/>
    </row>
    <row r="456" spans="1:1" s="179" customFormat="1" x14ac:dyDescent="0.2">
      <c r="A456" s="227"/>
    </row>
    <row r="457" spans="1:1" s="179" customFormat="1" x14ac:dyDescent="0.2">
      <c r="A457" s="227"/>
    </row>
    <row r="458" spans="1:1" s="179" customFormat="1" ht="13.15" customHeight="1" x14ac:dyDescent="0.2">
      <c r="A458" s="227"/>
    </row>
    <row r="461" spans="1:1" s="179" customFormat="1" ht="13.15" customHeight="1" x14ac:dyDescent="0.2">
      <c r="A461" s="227"/>
    </row>
    <row r="465" spans="1:1" s="179" customFormat="1" ht="13.15" customHeight="1" x14ac:dyDescent="0.2">
      <c r="A465" s="227"/>
    </row>
    <row r="467" spans="1:1" s="179" customFormat="1" ht="13.15" customHeight="1" x14ac:dyDescent="0.2">
      <c r="A467" s="227"/>
    </row>
    <row r="469" spans="1:1" s="179" customFormat="1" ht="13.15" customHeight="1" x14ac:dyDescent="0.2">
      <c r="A469" s="227"/>
    </row>
    <row r="470" spans="1:1" s="179" customFormat="1" ht="13.15" customHeight="1" x14ac:dyDescent="0.2">
      <c r="A470" s="227"/>
    </row>
    <row r="471" spans="1:1" s="179" customFormat="1" ht="13.15" customHeight="1" x14ac:dyDescent="0.2">
      <c r="A471" s="227"/>
    </row>
    <row r="472" spans="1:1" s="179" customFormat="1" ht="13.15" customHeight="1" x14ac:dyDescent="0.2">
      <c r="A472" s="227"/>
    </row>
    <row r="473" spans="1:1" s="179" customFormat="1" ht="13.15" customHeight="1" x14ac:dyDescent="0.2">
      <c r="A473" s="227"/>
    </row>
    <row r="474" spans="1:1" s="179" customFormat="1" ht="13.15" customHeight="1" x14ac:dyDescent="0.2">
      <c r="A474" s="227"/>
    </row>
    <row r="477" spans="1:1" s="179" customFormat="1" ht="13.15" customHeight="1" x14ac:dyDescent="0.2">
      <c r="A477" s="227"/>
    </row>
    <row r="485" spans="1:1" s="179" customFormat="1" ht="13.15" customHeight="1" x14ac:dyDescent="0.2">
      <c r="A485" s="227"/>
    </row>
    <row r="486" spans="1:1" s="179" customFormat="1" ht="13.15" customHeight="1" x14ac:dyDescent="0.2">
      <c r="A486" s="227"/>
    </row>
    <row r="487" spans="1:1" s="179" customFormat="1" ht="13.15" customHeight="1" x14ac:dyDescent="0.2">
      <c r="A487" s="227"/>
    </row>
    <row r="488" spans="1:1" s="179" customFormat="1" ht="13.15" customHeight="1" x14ac:dyDescent="0.2">
      <c r="A488" s="227"/>
    </row>
    <row r="489" spans="1:1" s="179" customFormat="1" ht="13.15" customHeight="1" x14ac:dyDescent="0.2">
      <c r="A489" s="227"/>
    </row>
    <row r="490" spans="1:1" s="179" customFormat="1" ht="13.15" customHeight="1" x14ac:dyDescent="0.2">
      <c r="A490" s="227"/>
    </row>
    <row r="491" spans="1:1" s="179" customFormat="1" ht="13.15" customHeight="1" x14ac:dyDescent="0.2">
      <c r="A491" s="227"/>
    </row>
    <row r="494" spans="1:1" s="179" customFormat="1" ht="13.15" customHeight="1" x14ac:dyDescent="0.2">
      <c r="A494" s="227"/>
    </row>
    <row r="495" spans="1:1" s="179" customFormat="1" ht="13.15" customHeight="1" x14ac:dyDescent="0.2">
      <c r="A495" s="227"/>
    </row>
    <row r="496" spans="1:1" s="179" customFormat="1" ht="13.15" customHeight="1" x14ac:dyDescent="0.2">
      <c r="A496" s="227"/>
    </row>
    <row r="497" spans="1:1" s="179" customFormat="1" ht="13.15" customHeight="1" x14ac:dyDescent="0.2">
      <c r="A497" s="227"/>
    </row>
    <row r="498" spans="1:1" s="179" customFormat="1" ht="13.15" customHeight="1" x14ac:dyDescent="0.2">
      <c r="A498" s="227"/>
    </row>
    <row r="499" spans="1:1" s="179" customFormat="1" ht="13.15" customHeight="1" x14ac:dyDescent="0.2">
      <c r="A499" s="227"/>
    </row>
    <row r="500" spans="1:1" s="179" customFormat="1" ht="13.15" customHeight="1" x14ac:dyDescent="0.2">
      <c r="A500" s="227"/>
    </row>
    <row r="501" spans="1:1" s="179" customFormat="1" ht="13.15" customHeight="1" x14ac:dyDescent="0.2">
      <c r="A501" s="227"/>
    </row>
    <row r="502" spans="1:1" s="179" customFormat="1" ht="13.15" customHeight="1" x14ac:dyDescent="0.2">
      <c r="A502" s="227"/>
    </row>
    <row r="503" spans="1:1" s="179" customFormat="1" ht="13.15" customHeight="1" x14ac:dyDescent="0.2">
      <c r="A503" s="227"/>
    </row>
    <row r="506" spans="1:1" s="179" customFormat="1" ht="13.15" customHeight="1" x14ac:dyDescent="0.2">
      <c r="A506" s="227"/>
    </row>
    <row r="513" spans="1:1" s="179" customFormat="1" ht="13.15" customHeight="1" x14ac:dyDescent="0.2">
      <c r="A513" s="227"/>
    </row>
    <row r="515" spans="1:1" s="179" customFormat="1" ht="13.15" customHeight="1" x14ac:dyDescent="0.2">
      <c r="A515" s="227"/>
    </row>
    <row r="516" spans="1:1" s="179" customFormat="1" ht="13.15" customHeight="1" x14ac:dyDescent="0.2">
      <c r="A516" s="227"/>
    </row>
    <row r="517" spans="1:1" s="179" customFormat="1" ht="13.15" customHeight="1" x14ac:dyDescent="0.2">
      <c r="A517" s="227"/>
    </row>
    <row r="518" spans="1:1" s="179" customFormat="1" ht="13.15" customHeight="1" x14ac:dyDescent="0.2">
      <c r="A518" s="227"/>
    </row>
    <row r="519" spans="1:1" s="179" customFormat="1" ht="13.15" customHeight="1" x14ac:dyDescent="0.2">
      <c r="A519" s="227"/>
    </row>
    <row r="522" spans="1:1" s="179" customFormat="1" ht="13.15" customHeight="1" x14ac:dyDescent="0.2">
      <c r="A522" s="227"/>
    </row>
    <row r="523" spans="1:1" s="179" customFormat="1" ht="13.15" customHeight="1" x14ac:dyDescent="0.2">
      <c r="A523" s="227"/>
    </row>
    <row r="524" spans="1:1" s="179" customFormat="1" ht="13.15" customHeight="1" x14ac:dyDescent="0.2">
      <c r="A524" s="227"/>
    </row>
    <row r="525" spans="1:1" s="179" customFormat="1" ht="13.15" customHeight="1" x14ac:dyDescent="0.2">
      <c r="A525" s="227"/>
    </row>
    <row r="528" spans="1:1" s="179" customFormat="1" ht="13.15" customHeight="1" x14ac:dyDescent="0.2">
      <c r="A528" s="227"/>
    </row>
    <row r="529" spans="1:1" s="179" customFormat="1" ht="13.15" customHeight="1" x14ac:dyDescent="0.2">
      <c r="A529" s="227"/>
    </row>
    <row r="530" spans="1:1" s="179" customFormat="1" ht="13.15" customHeight="1" x14ac:dyDescent="0.2">
      <c r="A530" s="227"/>
    </row>
    <row r="531" spans="1:1" s="179" customFormat="1" ht="13.15" customHeight="1" x14ac:dyDescent="0.2">
      <c r="A531" s="227"/>
    </row>
    <row r="533" spans="1:1" s="179" customFormat="1" ht="13.15" customHeight="1" x14ac:dyDescent="0.2">
      <c r="A533" s="227"/>
    </row>
    <row r="535" spans="1:1" s="179" customFormat="1" ht="13.15" customHeight="1" x14ac:dyDescent="0.2">
      <c r="A535" s="227"/>
    </row>
    <row r="536" spans="1:1" s="179" customFormat="1" ht="13.15" customHeight="1" x14ac:dyDescent="0.2">
      <c r="A536" s="227"/>
    </row>
    <row r="537" spans="1:1" s="179" customFormat="1" ht="13.15" customHeight="1" x14ac:dyDescent="0.2">
      <c r="A537" s="227"/>
    </row>
    <row r="540" spans="1:1" s="179" customFormat="1" ht="13.15" customHeight="1" x14ac:dyDescent="0.2">
      <c r="A540" s="227"/>
    </row>
    <row r="541" spans="1:1" s="179" customFormat="1" ht="13.15" customHeight="1" x14ac:dyDescent="0.2">
      <c r="A541" s="227"/>
    </row>
    <row r="543" spans="1:1" s="179" customFormat="1" ht="13.15" customHeight="1" x14ac:dyDescent="0.2">
      <c r="A543" s="227"/>
    </row>
    <row r="545" spans="1:1" s="179" customFormat="1" ht="13.15" customHeight="1" x14ac:dyDescent="0.2">
      <c r="A545" s="227"/>
    </row>
    <row r="546" spans="1:1" s="179" customFormat="1" ht="13.15" customHeight="1" x14ac:dyDescent="0.2">
      <c r="A546" s="227"/>
    </row>
    <row r="549" spans="1:1" s="179" customFormat="1" ht="13.15" customHeight="1" x14ac:dyDescent="0.2">
      <c r="A549" s="227"/>
    </row>
    <row r="550" spans="1:1" s="179" customFormat="1" ht="13.15" customHeight="1" x14ac:dyDescent="0.2">
      <c r="A550" s="227"/>
    </row>
    <row r="552" spans="1:1" s="179" customFormat="1" ht="13.15" customHeight="1" x14ac:dyDescent="0.2">
      <c r="A552" s="227"/>
    </row>
    <row r="553" spans="1:1" s="179" customFormat="1" ht="13.15" customHeight="1" x14ac:dyDescent="0.2">
      <c r="A553" s="227"/>
    </row>
    <row r="554" spans="1:1" s="179" customFormat="1" ht="13.15" customHeight="1" x14ac:dyDescent="0.2">
      <c r="A554" s="227"/>
    </row>
    <row r="557" spans="1:1" s="179" customFormat="1" ht="13.15" customHeight="1" x14ac:dyDescent="0.2">
      <c r="A557" s="227"/>
    </row>
    <row r="558" spans="1:1" s="179" customFormat="1" ht="13.15" customHeight="1" x14ac:dyDescent="0.2">
      <c r="A558" s="227"/>
    </row>
  </sheetData>
  <mergeCells count="312">
    <mergeCell ref="F448:G448"/>
    <mergeCell ref="I434:L434"/>
    <mergeCell ref="D435:L435"/>
    <mergeCell ref="I438:L438"/>
    <mergeCell ref="B445:L445"/>
    <mergeCell ref="E446:I446"/>
    <mergeCell ref="F447:G447"/>
    <mergeCell ref="I425:L425"/>
    <mergeCell ref="D427:L427"/>
    <mergeCell ref="I428:L428"/>
    <mergeCell ref="I429:L429"/>
    <mergeCell ref="G430:G432"/>
    <mergeCell ref="H430:H431"/>
    <mergeCell ref="I430:L430"/>
    <mergeCell ref="J431:L431"/>
    <mergeCell ref="J432:L432"/>
    <mergeCell ref="D419:L419"/>
    <mergeCell ref="I420:L420"/>
    <mergeCell ref="E421:F421"/>
    <mergeCell ref="I421:L421"/>
    <mergeCell ref="E422:F424"/>
    <mergeCell ref="I422:L422"/>
    <mergeCell ref="J423:L423"/>
    <mergeCell ref="J424:L424"/>
    <mergeCell ref="I407:L407"/>
    <mergeCell ref="I408:L408"/>
    <mergeCell ref="D411:L411"/>
    <mergeCell ref="I413:L413"/>
    <mergeCell ref="I414:L414"/>
    <mergeCell ref="D418:L418"/>
    <mergeCell ref="I395:L395"/>
    <mergeCell ref="I396:L396"/>
    <mergeCell ref="D399:L399"/>
    <mergeCell ref="I401:L401"/>
    <mergeCell ref="J402:L402"/>
    <mergeCell ref="D405:L405"/>
    <mergeCell ref="I383:L383"/>
    <mergeCell ref="D386:L386"/>
    <mergeCell ref="I388:L388"/>
    <mergeCell ref="I389:L389"/>
    <mergeCell ref="D392:L392"/>
    <mergeCell ref="D393:L393"/>
    <mergeCell ref="D374:L374"/>
    <mergeCell ref="I376:L376"/>
    <mergeCell ref="I377:L377"/>
    <mergeCell ref="I378:L378"/>
    <mergeCell ref="D380:L380"/>
    <mergeCell ref="I382:L382"/>
    <mergeCell ref="I362:L362"/>
    <mergeCell ref="D365:L365"/>
    <mergeCell ref="I367:L367"/>
    <mergeCell ref="J368:L368"/>
    <mergeCell ref="J370:L370"/>
    <mergeCell ref="D373:L373"/>
    <mergeCell ref="J353:L353"/>
    <mergeCell ref="D358:L358"/>
    <mergeCell ref="E360:F360"/>
    <mergeCell ref="I360:L360"/>
    <mergeCell ref="E361:F361"/>
    <mergeCell ref="I361:L361"/>
    <mergeCell ref="I343:L343"/>
    <mergeCell ref="I344:L344"/>
    <mergeCell ref="I345:L345"/>
    <mergeCell ref="I346:L346"/>
    <mergeCell ref="D349:L349"/>
    <mergeCell ref="I352:L352"/>
    <mergeCell ref="D335:L335"/>
    <mergeCell ref="D336:L336"/>
    <mergeCell ref="I337:L337"/>
    <mergeCell ref="I338:L338"/>
    <mergeCell ref="I339:L339"/>
    <mergeCell ref="D342:L342"/>
    <mergeCell ref="I321:L321"/>
    <mergeCell ref="E322:F322"/>
    <mergeCell ref="I322:L322"/>
    <mergeCell ref="E323:F323"/>
    <mergeCell ref="I323:L323"/>
    <mergeCell ref="I324:L324"/>
    <mergeCell ref="D326:L326"/>
    <mergeCell ref="I327:L327"/>
    <mergeCell ref="E328:F328"/>
    <mergeCell ref="I328:L328"/>
    <mergeCell ref="E329:F329"/>
    <mergeCell ref="I329:L329"/>
    <mergeCell ref="I333:L333"/>
    <mergeCell ref="E330:F330"/>
    <mergeCell ref="E331:F331"/>
    <mergeCell ref="E332:F332"/>
    <mergeCell ref="R315:U315"/>
    <mergeCell ref="E316:F316"/>
    <mergeCell ref="E317:F317"/>
    <mergeCell ref="I318:L318"/>
    <mergeCell ref="R318:U318"/>
    <mergeCell ref="D320:L320"/>
    <mergeCell ref="I310:L310"/>
    <mergeCell ref="D312:L312"/>
    <mergeCell ref="I313:L313"/>
    <mergeCell ref="E314:F314"/>
    <mergeCell ref="I314:L314"/>
    <mergeCell ref="E315:F315"/>
    <mergeCell ref="I315:L315"/>
    <mergeCell ref="I303:L303"/>
    <mergeCell ref="D305:L305"/>
    <mergeCell ref="I306:L306"/>
    <mergeCell ref="I307:L307"/>
    <mergeCell ref="I308:L308"/>
    <mergeCell ref="I309:L309"/>
    <mergeCell ref="I299:L299"/>
    <mergeCell ref="E300:F300"/>
    <mergeCell ref="I300:L300"/>
    <mergeCell ref="E301:F301"/>
    <mergeCell ref="I301:L301"/>
    <mergeCell ref="E302:F302"/>
    <mergeCell ref="I302:L302"/>
    <mergeCell ref="E294:F294"/>
    <mergeCell ref="I294:L294"/>
    <mergeCell ref="E295:F295"/>
    <mergeCell ref="I295:L295"/>
    <mergeCell ref="I296:L296"/>
    <mergeCell ref="D298:L298"/>
    <mergeCell ref="I286:L286"/>
    <mergeCell ref="I287:L287"/>
    <mergeCell ref="D290:L290"/>
    <mergeCell ref="D291:L291"/>
    <mergeCell ref="I292:L292"/>
    <mergeCell ref="E293:F293"/>
    <mergeCell ref="I293:L293"/>
    <mergeCell ref="D277:E277"/>
    <mergeCell ref="D278:E278"/>
    <mergeCell ref="D279:E279"/>
    <mergeCell ref="D280:E280"/>
    <mergeCell ref="D281:E281"/>
    <mergeCell ref="D284:L284"/>
    <mergeCell ref="D271:E271"/>
    <mergeCell ref="D272:E272"/>
    <mergeCell ref="D273:E273"/>
    <mergeCell ref="D274:E274"/>
    <mergeCell ref="D275:E275"/>
    <mergeCell ref="D276:E276"/>
    <mergeCell ref="D265:E265"/>
    <mergeCell ref="D266:E266"/>
    <mergeCell ref="D267:E267"/>
    <mergeCell ref="D268:E268"/>
    <mergeCell ref="D269:E269"/>
    <mergeCell ref="D270:E270"/>
    <mergeCell ref="D259:E259"/>
    <mergeCell ref="F259:G259"/>
    <mergeCell ref="D260:E260"/>
    <mergeCell ref="D261:E261"/>
    <mergeCell ref="D262:E262"/>
    <mergeCell ref="D263:E263"/>
    <mergeCell ref="D254:L254"/>
    <mergeCell ref="D255:L255"/>
    <mergeCell ref="I256:L256"/>
    <mergeCell ref="D257:E257"/>
    <mergeCell ref="I257:L257"/>
    <mergeCell ref="D258:E258"/>
    <mergeCell ref="I258:L258"/>
    <mergeCell ref="E249:F249"/>
    <mergeCell ref="I249:L249"/>
    <mergeCell ref="E250:F250"/>
    <mergeCell ref="I250:L250"/>
    <mergeCell ref="E251:F251"/>
    <mergeCell ref="I251:L251"/>
    <mergeCell ref="I237:L237"/>
    <mergeCell ref="I238:L238"/>
    <mergeCell ref="D241:L241"/>
    <mergeCell ref="I243:L243"/>
    <mergeCell ref="I244:L244"/>
    <mergeCell ref="D247:L247"/>
    <mergeCell ref="D228:E228"/>
    <mergeCell ref="D229:E229"/>
    <mergeCell ref="D230:E230"/>
    <mergeCell ref="D231:E231"/>
    <mergeCell ref="D234:L234"/>
    <mergeCell ref="I236:L236"/>
    <mergeCell ref="D223:L223"/>
    <mergeCell ref="D225:E225"/>
    <mergeCell ref="I225:L225"/>
    <mergeCell ref="D226:E226"/>
    <mergeCell ref="I226:L226"/>
    <mergeCell ref="D227:E227"/>
    <mergeCell ref="I227:L227"/>
    <mergeCell ref="I210:L210"/>
    <mergeCell ref="I211:L211"/>
    <mergeCell ref="D217:L217"/>
    <mergeCell ref="D219:E219"/>
    <mergeCell ref="I219:L219"/>
    <mergeCell ref="D220:E220"/>
    <mergeCell ref="I220:L221"/>
    <mergeCell ref="I191:L192"/>
    <mergeCell ref="J193:L193"/>
    <mergeCell ref="D202:L202"/>
    <mergeCell ref="I204:L204"/>
    <mergeCell ref="I205:L205"/>
    <mergeCell ref="D208:L208"/>
    <mergeCell ref="J146:L146"/>
    <mergeCell ref="J147:L148"/>
    <mergeCell ref="J150:L150"/>
    <mergeCell ref="F162:G162"/>
    <mergeCell ref="D188:L188"/>
    <mergeCell ref="I190:L190"/>
    <mergeCell ref="D135:L135"/>
    <mergeCell ref="I137:L137"/>
    <mergeCell ref="I138:L138"/>
    <mergeCell ref="I139:L139"/>
    <mergeCell ref="D143:L143"/>
    <mergeCell ref="D144:L144"/>
    <mergeCell ref="C127:D127"/>
    <mergeCell ref="C128:D128"/>
    <mergeCell ref="C129:D129"/>
    <mergeCell ref="C130:D130"/>
    <mergeCell ref="C131:D131"/>
    <mergeCell ref="C132:D132"/>
    <mergeCell ref="C122:D122"/>
    <mergeCell ref="C123:D123"/>
    <mergeCell ref="C124:D124"/>
    <mergeCell ref="C125:D125"/>
    <mergeCell ref="C126:D126"/>
    <mergeCell ref="I126:L126"/>
    <mergeCell ref="C116:D116"/>
    <mergeCell ref="C117:D117"/>
    <mergeCell ref="I117:L117"/>
    <mergeCell ref="C118:D118"/>
    <mergeCell ref="C120:D120"/>
    <mergeCell ref="C121:D121"/>
    <mergeCell ref="I121:L121"/>
    <mergeCell ref="D111:L111"/>
    <mergeCell ref="C113:D113"/>
    <mergeCell ref="I113:L113"/>
    <mergeCell ref="C114:D114"/>
    <mergeCell ref="I114:L115"/>
    <mergeCell ref="C115:D115"/>
    <mergeCell ref="E98:F98"/>
    <mergeCell ref="E99:F99"/>
    <mergeCell ref="D102:L102"/>
    <mergeCell ref="I104:L104"/>
    <mergeCell ref="I105:L105"/>
    <mergeCell ref="I106:L106"/>
    <mergeCell ref="E93:F93"/>
    <mergeCell ref="J93:L93"/>
    <mergeCell ref="E94:F94"/>
    <mergeCell ref="E95:F95"/>
    <mergeCell ref="E96:F96"/>
    <mergeCell ref="E97:F97"/>
    <mergeCell ref="E88:F88"/>
    <mergeCell ref="J88:L88"/>
    <mergeCell ref="E89:F89"/>
    <mergeCell ref="E90:F90"/>
    <mergeCell ref="E91:F91"/>
    <mergeCell ref="E92:F92"/>
    <mergeCell ref="E82:F82"/>
    <mergeCell ref="I82:L82"/>
    <mergeCell ref="E83:F83"/>
    <mergeCell ref="E84:F84"/>
    <mergeCell ref="E85:F85"/>
    <mergeCell ref="E87:F87"/>
    <mergeCell ref="I76:L76"/>
    <mergeCell ref="D78:L78"/>
    <mergeCell ref="E80:F80"/>
    <mergeCell ref="I80:L80"/>
    <mergeCell ref="E81:F81"/>
    <mergeCell ref="I81:L81"/>
    <mergeCell ref="D71:L71"/>
    <mergeCell ref="E73:F73"/>
    <mergeCell ref="J73:L73"/>
    <mergeCell ref="E74:F74"/>
    <mergeCell ref="I74:L74"/>
    <mergeCell ref="E75:F75"/>
    <mergeCell ref="I75:L75"/>
    <mergeCell ref="E63:F63"/>
    <mergeCell ref="E64:F64"/>
    <mergeCell ref="I64:L64"/>
    <mergeCell ref="E65:F65"/>
    <mergeCell ref="I68:L68"/>
    <mergeCell ref="I69:L69"/>
    <mergeCell ref="D58:L58"/>
    <mergeCell ref="D59:L59"/>
    <mergeCell ref="E61:F61"/>
    <mergeCell ref="I61:L61"/>
    <mergeCell ref="E62:F62"/>
    <mergeCell ref="I62:L62"/>
    <mergeCell ref="H42:L42"/>
    <mergeCell ref="D46:L46"/>
    <mergeCell ref="I48:L48"/>
    <mergeCell ref="D52:L52"/>
    <mergeCell ref="H54:L54"/>
    <mergeCell ref="I55:L56"/>
    <mergeCell ref="D26:L26"/>
    <mergeCell ref="I28:L28"/>
    <mergeCell ref="J29:L30"/>
    <mergeCell ref="D32:L32"/>
    <mergeCell ref="H34:L34"/>
    <mergeCell ref="D40:L40"/>
    <mergeCell ref="I17:L17"/>
    <mergeCell ref="D19:L19"/>
    <mergeCell ref="D20:L20"/>
    <mergeCell ref="I21:L21"/>
    <mergeCell ref="I22:L22"/>
    <mergeCell ref="J23:L23"/>
    <mergeCell ref="D11:L11"/>
    <mergeCell ref="D12:L12"/>
    <mergeCell ref="D13:L13"/>
    <mergeCell ref="I14:L14"/>
    <mergeCell ref="I15:L15"/>
    <mergeCell ref="I16:L16"/>
    <mergeCell ref="B2:L6"/>
    <mergeCell ref="B7:L7"/>
    <mergeCell ref="J8:L8"/>
    <mergeCell ref="B9:E10"/>
    <mergeCell ref="J9:L9"/>
    <mergeCell ref="J10:L10"/>
  </mergeCells>
  <conditionalFormatting sqref="E376:E377 D407:D408 E409:E410 E412 C413:C414 D415 E416:E417">
    <cfRule type="cellIs" dxfId="3" priority="1" stopIfTrue="1" operator="equal">
      <formula>"19.004.0001-4"</formula>
    </cfRule>
    <cfRule type="cellIs" dxfId="2" priority="2" stopIfTrue="1" operator="equal">
      <formula>"19.004.0010-4"</formula>
    </cfRule>
  </conditionalFormatting>
  <conditionalFormatting sqref="O315:O334 E395:E397">
    <cfRule type="cellIs" dxfId="1" priority="3" stopIfTrue="1" operator="equal">
      <formula>"19.004.0001-4"</formula>
    </cfRule>
    <cfRule type="cellIs" dxfId="0" priority="4" stopIfTrue="1" operator="equal">
      <formula>"19.004.0010-4"</formula>
    </cfRule>
  </conditionalFormatting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10" manualBreakCount="10">
    <brk id="51" min="1" max="11" man="1"/>
    <brk id="101" min="1" max="11" man="1"/>
    <brk id="142" min="1" max="11" man="1"/>
    <brk id="187" min="1" max="11" man="1"/>
    <brk id="222" min="1" max="11" man="1"/>
    <brk id="253" min="1" max="11" man="1"/>
    <brk id="288" min="1" max="11" man="1"/>
    <brk id="334" min="1" max="11" man="1"/>
    <brk id="379" min="1" max="11" man="1"/>
    <brk id="425" min="1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9"/>
  <sheetViews>
    <sheetView showWhiteSpace="0" view="pageBreakPreview" zoomScale="120" zoomScaleNormal="100" zoomScaleSheetLayoutView="120" zoomScalePageLayoutView="110" workbookViewId="0">
      <selection activeCell="R29" sqref="A1:R29"/>
    </sheetView>
  </sheetViews>
  <sheetFormatPr defaultColWidth="9" defaultRowHeight="12.75" x14ac:dyDescent="0.2"/>
  <cols>
    <col min="1" max="1" width="6.5703125" customWidth="1"/>
    <col min="2" max="2" width="10.85546875" customWidth="1"/>
    <col min="3" max="3" width="33.42578125" customWidth="1"/>
    <col min="4" max="4" width="13.7109375" customWidth="1"/>
    <col min="5" max="5" width="9.140625" customWidth="1"/>
    <col min="6" max="6" width="8.140625" customWidth="1"/>
    <col min="7" max="7" width="12.85546875" customWidth="1"/>
    <col min="8" max="8" width="7.85546875" customWidth="1"/>
    <col min="9" max="9" width="12.5703125" customWidth="1"/>
    <col min="10" max="10" width="7.140625" customWidth="1"/>
    <col min="11" max="11" width="12.85546875" customWidth="1"/>
    <col min="12" max="12" width="7.42578125" customWidth="1"/>
    <col min="13" max="13" width="12.85546875" customWidth="1"/>
    <col min="14" max="14" width="8.140625" customWidth="1"/>
    <col min="15" max="15" width="12.85546875" customWidth="1"/>
    <col min="16" max="16" width="8.28515625" customWidth="1"/>
    <col min="17" max="17" width="13.5703125" customWidth="1"/>
    <col min="18" max="18" width="15.85546875" customWidth="1"/>
    <col min="19" max="19" width="13.28515625" customWidth="1"/>
    <col min="20" max="260" width="10" customWidth="1"/>
  </cols>
  <sheetData>
    <row r="1" spans="1:19" ht="31.5" x14ac:dyDescent="0.2">
      <c r="A1" s="455"/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7"/>
    </row>
    <row r="2" spans="1:19" ht="21" x14ac:dyDescent="0.2">
      <c r="A2" s="46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467"/>
    </row>
    <row r="3" spans="1:19" ht="23.25" customHeight="1" thickBot="1" x14ac:dyDescent="0.25">
      <c r="A3" s="471"/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3"/>
    </row>
    <row r="4" spans="1:19" ht="18" x14ac:dyDescent="0.25">
      <c r="A4" s="476" t="s">
        <v>66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477"/>
    </row>
    <row r="5" spans="1:19" ht="14.25" customHeight="1" x14ac:dyDescent="0.2">
      <c r="A5" s="468" t="s">
        <v>250</v>
      </c>
      <c r="B5" s="628"/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628"/>
      <c r="N5" s="628"/>
      <c r="O5" s="628"/>
      <c r="P5" s="628"/>
      <c r="Q5" s="628"/>
      <c r="R5" s="469"/>
    </row>
    <row r="6" spans="1:19" ht="13.5" customHeight="1" x14ac:dyDescent="0.2">
      <c r="A6" s="478" t="s">
        <v>67</v>
      </c>
      <c r="B6" s="629"/>
      <c r="C6" s="629"/>
      <c r="D6" s="629"/>
      <c r="E6" s="629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82"/>
    </row>
    <row r="7" spans="1:19" ht="13.5" thickBot="1" x14ac:dyDescent="0.25">
      <c r="A7" s="88"/>
      <c r="B7" s="630"/>
      <c r="C7" s="631"/>
      <c r="D7" s="632"/>
      <c r="E7" s="633"/>
      <c r="F7" s="625"/>
      <c r="G7" s="625"/>
      <c r="H7" s="625"/>
      <c r="I7" s="625"/>
      <c r="J7" s="625"/>
      <c r="K7" s="625"/>
      <c r="L7" s="625"/>
      <c r="M7" s="625"/>
      <c r="N7" s="625"/>
      <c r="O7" s="625"/>
      <c r="P7" s="625"/>
      <c r="Q7" s="625"/>
      <c r="R7" s="82"/>
    </row>
    <row r="8" spans="1:19" ht="15" customHeight="1" x14ac:dyDescent="0.2">
      <c r="A8" s="460" t="s">
        <v>0</v>
      </c>
      <c r="B8" s="89"/>
      <c r="C8" s="90"/>
      <c r="D8" s="91"/>
      <c r="E8" s="92"/>
      <c r="F8" s="479" t="s">
        <v>68</v>
      </c>
      <c r="G8" s="480"/>
      <c r="H8" s="480"/>
      <c r="I8" s="480"/>
      <c r="J8" s="480"/>
      <c r="K8" s="480"/>
      <c r="L8" s="93"/>
      <c r="M8" s="93"/>
      <c r="N8" s="93"/>
      <c r="O8" s="93"/>
      <c r="P8" s="93"/>
      <c r="Q8" s="93"/>
      <c r="R8" s="474" t="s">
        <v>38</v>
      </c>
    </row>
    <row r="9" spans="1:19" ht="15" customHeight="1" x14ac:dyDescent="0.2">
      <c r="A9" s="461"/>
      <c r="B9" s="94" t="s">
        <v>69</v>
      </c>
      <c r="C9" s="94"/>
      <c r="D9" s="95" t="s">
        <v>70</v>
      </c>
      <c r="E9" s="96" t="s">
        <v>71</v>
      </c>
      <c r="F9" s="458" t="s">
        <v>72</v>
      </c>
      <c r="G9" s="470"/>
      <c r="H9" s="458" t="s">
        <v>73</v>
      </c>
      <c r="I9" s="470"/>
      <c r="J9" s="458" t="s">
        <v>74</v>
      </c>
      <c r="K9" s="459"/>
      <c r="L9" s="458" t="s">
        <v>82</v>
      </c>
      <c r="M9" s="459"/>
      <c r="N9" s="458" t="s">
        <v>236</v>
      </c>
      <c r="O9" s="459"/>
      <c r="P9" s="458" t="s">
        <v>237</v>
      </c>
      <c r="Q9" s="459"/>
      <c r="R9" s="475"/>
    </row>
    <row r="10" spans="1:19" ht="15" customHeight="1" x14ac:dyDescent="0.2">
      <c r="A10" s="462"/>
      <c r="B10" s="97" t="s">
        <v>75</v>
      </c>
      <c r="C10" s="98"/>
      <c r="D10" s="99" t="s">
        <v>76</v>
      </c>
      <c r="E10" s="100" t="s">
        <v>77</v>
      </c>
      <c r="F10" s="101" t="s">
        <v>78</v>
      </c>
      <c r="G10" s="101" t="s">
        <v>79</v>
      </c>
      <c r="H10" s="101" t="s">
        <v>78</v>
      </c>
      <c r="I10" s="102" t="s">
        <v>79</v>
      </c>
      <c r="J10" s="101" t="s">
        <v>78</v>
      </c>
      <c r="K10" s="103" t="s">
        <v>79</v>
      </c>
      <c r="L10" s="101" t="s">
        <v>78</v>
      </c>
      <c r="M10" s="103" t="s">
        <v>79</v>
      </c>
      <c r="N10" s="101" t="s">
        <v>78</v>
      </c>
      <c r="O10" s="103" t="s">
        <v>79</v>
      </c>
      <c r="P10" s="101" t="s">
        <v>78</v>
      </c>
      <c r="Q10" s="103" t="s">
        <v>79</v>
      </c>
      <c r="R10" s="475"/>
    </row>
    <row r="11" spans="1:19" ht="15" customHeight="1" x14ac:dyDescent="0.2">
      <c r="A11" s="104">
        <v>1</v>
      </c>
      <c r="B11" s="463" t="str">
        <f>PLANILHA!C8</f>
        <v>SERVIÇOS PRELIMINARES</v>
      </c>
      <c r="C11" s="465"/>
      <c r="D11" s="105">
        <f>PLANILHA!I10</f>
        <v>854.96</v>
      </c>
      <c r="E11" s="506">
        <f t="shared" ref="E11:E20" si="0">IF(D11=0,0,D11/D$21)</f>
        <v>5.5668188530345114E-3</v>
      </c>
      <c r="F11" s="507">
        <v>1</v>
      </c>
      <c r="G11" s="178">
        <f t="shared" ref="G11:G17" si="1">D11*F11</f>
        <v>854.96</v>
      </c>
      <c r="H11" s="508">
        <v>0</v>
      </c>
      <c r="I11" s="106">
        <f t="shared" ref="I11:I20" si="2">D11*H11</f>
        <v>0</v>
      </c>
      <c r="J11" s="508">
        <v>0</v>
      </c>
      <c r="K11" s="107">
        <f t="shared" ref="K11:K20" si="3">D11*J11</f>
        <v>0</v>
      </c>
      <c r="L11" s="508">
        <v>0</v>
      </c>
      <c r="M11" s="107">
        <f t="shared" ref="M11:M20" si="4">D11*L11</f>
        <v>0</v>
      </c>
      <c r="N11" s="508">
        <v>0</v>
      </c>
      <c r="O11" s="107">
        <f t="shared" ref="O11:O18" si="5">F11*N11</f>
        <v>0</v>
      </c>
      <c r="P11" s="508">
        <v>0</v>
      </c>
      <c r="Q11" s="107">
        <f t="shared" ref="Q11:Q18" si="6">H11*P11</f>
        <v>0</v>
      </c>
      <c r="R11" s="108">
        <f t="shared" ref="R11:R18" si="7">G11+I11+K11+M11</f>
        <v>854.96</v>
      </c>
      <c r="S11" s="145">
        <f>D11-R11</f>
        <v>0</v>
      </c>
    </row>
    <row r="12" spans="1:19" ht="15" customHeight="1" x14ac:dyDescent="0.2">
      <c r="A12" s="104">
        <v>2</v>
      </c>
      <c r="B12" s="463" t="str">
        <f>PLANILHA!C11</f>
        <v>REMOÇÕES E DEMOLIÇÕES</v>
      </c>
      <c r="C12" s="464"/>
      <c r="D12" s="105">
        <f>PLANILHA!I18</f>
        <v>9847.16</v>
      </c>
      <c r="E12" s="506">
        <f t="shared" si="0"/>
        <v>6.4116866212275803E-2</v>
      </c>
      <c r="F12" s="507">
        <v>0.5</v>
      </c>
      <c r="G12" s="178">
        <f t="shared" si="1"/>
        <v>4923.58</v>
      </c>
      <c r="H12" s="508">
        <v>0.5</v>
      </c>
      <c r="I12" s="106">
        <f t="shared" si="2"/>
        <v>4923.58</v>
      </c>
      <c r="J12" s="508">
        <v>0</v>
      </c>
      <c r="K12" s="107">
        <f t="shared" si="3"/>
        <v>0</v>
      </c>
      <c r="L12" s="508">
        <v>0</v>
      </c>
      <c r="M12" s="107">
        <f t="shared" si="4"/>
        <v>0</v>
      </c>
      <c r="N12" s="508">
        <v>0</v>
      </c>
      <c r="O12" s="107">
        <f t="shared" si="5"/>
        <v>0</v>
      </c>
      <c r="P12" s="508">
        <v>0</v>
      </c>
      <c r="Q12" s="107">
        <f t="shared" si="6"/>
        <v>0</v>
      </c>
      <c r="R12" s="108">
        <f t="shared" si="7"/>
        <v>9847.16</v>
      </c>
      <c r="S12" s="145">
        <f t="shared" ref="S12:S20" si="8">D12-R12</f>
        <v>0</v>
      </c>
    </row>
    <row r="13" spans="1:19" ht="15" customHeight="1" x14ac:dyDescent="0.2">
      <c r="A13" s="104">
        <v>3</v>
      </c>
      <c r="B13" s="463" t="str">
        <f>PLANILHA!C20</f>
        <v>ESQUADRIAS</v>
      </c>
      <c r="C13" s="464"/>
      <c r="D13" s="105">
        <f>PLANILHA!I27</f>
        <v>7060.4500000000007</v>
      </c>
      <c r="E13" s="506">
        <f t="shared" si="0"/>
        <v>4.5972029300677827E-2</v>
      </c>
      <c r="F13" s="508">
        <v>0</v>
      </c>
      <c r="G13" s="106">
        <f t="shared" si="1"/>
        <v>0</v>
      </c>
      <c r="H13" s="508">
        <v>0.25</v>
      </c>
      <c r="I13" s="106">
        <f t="shared" si="2"/>
        <v>1765.1125000000002</v>
      </c>
      <c r="J13" s="508">
        <v>0.25</v>
      </c>
      <c r="K13" s="107">
        <f t="shared" si="3"/>
        <v>1765.1125000000002</v>
      </c>
      <c r="L13" s="508">
        <v>0.25</v>
      </c>
      <c r="M13" s="107">
        <f t="shared" si="4"/>
        <v>1765.1125000000002</v>
      </c>
      <c r="N13" s="508">
        <v>0.25</v>
      </c>
      <c r="O13" s="107">
        <f>D13*N13</f>
        <v>1765.1125000000002</v>
      </c>
      <c r="P13" s="508">
        <v>0</v>
      </c>
      <c r="Q13" s="107">
        <f t="shared" si="6"/>
        <v>0</v>
      </c>
      <c r="R13" s="108">
        <f>G13+I13+K13+M13+O13</f>
        <v>7060.4500000000007</v>
      </c>
      <c r="S13" s="145">
        <f t="shared" si="8"/>
        <v>0</v>
      </c>
    </row>
    <row r="14" spans="1:19" ht="15" customHeight="1" x14ac:dyDescent="0.2">
      <c r="A14" s="104">
        <v>4</v>
      </c>
      <c r="B14" s="463" t="str">
        <f>PLANILHA!C29</f>
        <v>PAREDES, MUROS, MURETAS  E TETO</v>
      </c>
      <c r="C14" s="464"/>
      <c r="D14" s="105">
        <f>PLANILHA!I39</f>
        <v>39526.30999999999</v>
      </c>
      <c r="E14" s="506">
        <f t="shared" si="0"/>
        <v>0.25736386228465247</v>
      </c>
      <c r="F14" s="508">
        <v>0</v>
      </c>
      <c r="G14" s="106">
        <f t="shared" si="1"/>
        <v>0</v>
      </c>
      <c r="H14" s="508">
        <v>0</v>
      </c>
      <c r="I14" s="106">
        <f t="shared" si="2"/>
        <v>0</v>
      </c>
      <c r="J14" s="508">
        <v>0</v>
      </c>
      <c r="K14" s="107">
        <f t="shared" si="3"/>
        <v>0</v>
      </c>
      <c r="L14" s="508">
        <v>0.4</v>
      </c>
      <c r="M14" s="107">
        <f>D14*L14</f>
        <v>15810.523999999998</v>
      </c>
      <c r="N14" s="508">
        <v>0.3</v>
      </c>
      <c r="O14" s="107">
        <f>D14*N14</f>
        <v>11857.892999999996</v>
      </c>
      <c r="P14" s="508">
        <v>0.3</v>
      </c>
      <c r="Q14" s="107">
        <f>D14*P14</f>
        <v>11857.892999999996</v>
      </c>
      <c r="R14" s="108">
        <f>O14+Q14+M14</f>
        <v>39526.30999999999</v>
      </c>
      <c r="S14" s="145">
        <f t="shared" si="8"/>
        <v>0</v>
      </c>
    </row>
    <row r="15" spans="1:19" ht="15" customHeight="1" x14ac:dyDescent="0.2">
      <c r="A15" s="104">
        <v>5</v>
      </c>
      <c r="B15" s="463" t="str">
        <f>PLANILHA!C41</f>
        <v>PISOS</v>
      </c>
      <c r="C15" s="464"/>
      <c r="D15" s="105">
        <f>PLANILHA!I44</f>
        <v>35067.97</v>
      </c>
      <c r="E15" s="506">
        <f t="shared" si="0"/>
        <v>0.22833470166282474</v>
      </c>
      <c r="F15" s="508">
        <v>0.3</v>
      </c>
      <c r="G15" s="106">
        <f t="shared" si="1"/>
        <v>10520.391</v>
      </c>
      <c r="H15" s="508">
        <v>0.3</v>
      </c>
      <c r="I15" s="106">
        <f t="shared" si="2"/>
        <v>10520.391</v>
      </c>
      <c r="J15" s="508">
        <v>0.4</v>
      </c>
      <c r="K15" s="107">
        <f t="shared" si="3"/>
        <v>14027.188000000002</v>
      </c>
      <c r="L15" s="508">
        <v>0</v>
      </c>
      <c r="M15" s="107">
        <f t="shared" si="4"/>
        <v>0</v>
      </c>
      <c r="N15" s="508">
        <v>0</v>
      </c>
      <c r="O15" s="107">
        <f t="shared" si="5"/>
        <v>0</v>
      </c>
      <c r="P15" s="508">
        <v>0</v>
      </c>
      <c r="Q15" s="107">
        <f t="shared" si="6"/>
        <v>0</v>
      </c>
      <c r="R15" s="108">
        <f t="shared" si="7"/>
        <v>35067.97</v>
      </c>
      <c r="S15" s="145">
        <f t="shared" si="8"/>
        <v>0</v>
      </c>
    </row>
    <row r="16" spans="1:19" ht="15" customHeight="1" x14ac:dyDescent="0.2">
      <c r="A16" s="104">
        <v>6</v>
      </c>
      <c r="B16" s="463" t="str">
        <f>PLANILHA!C46</f>
        <v xml:space="preserve">ACABAMENTOS </v>
      </c>
      <c r="C16" s="464"/>
      <c r="D16" s="105">
        <f>PLANILHA!I53</f>
        <v>3275.98</v>
      </c>
      <c r="E16" s="506">
        <f t="shared" si="0"/>
        <v>2.1330573624688872E-2</v>
      </c>
      <c r="F16" s="508">
        <v>0</v>
      </c>
      <c r="G16" s="106">
        <f t="shared" si="1"/>
        <v>0</v>
      </c>
      <c r="H16" s="508">
        <v>0</v>
      </c>
      <c r="I16" s="106">
        <f t="shared" si="2"/>
        <v>0</v>
      </c>
      <c r="J16" s="508">
        <v>0</v>
      </c>
      <c r="K16" s="107">
        <f t="shared" si="3"/>
        <v>0</v>
      </c>
      <c r="L16" s="508">
        <v>0</v>
      </c>
      <c r="M16" s="107">
        <f t="shared" si="4"/>
        <v>0</v>
      </c>
      <c r="N16" s="508">
        <v>0.5</v>
      </c>
      <c r="O16" s="107">
        <f>D16*N16</f>
        <v>1637.99</v>
      </c>
      <c r="P16" s="508">
        <v>0.5</v>
      </c>
      <c r="Q16" s="107">
        <f>D16*P16</f>
        <v>1637.99</v>
      </c>
      <c r="R16" s="108">
        <f>O16+Q16</f>
        <v>3275.98</v>
      </c>
      <c r="S16" s="145">
        <f t="shared" si="8"/>
        <v>0</v>
      </c>
    </row>
    <row r="17" spans="1:19" ht="15" customHeight="1" x14ac:dyDescent="0.2">
      <c r="A17" s="104">
        <v>7</v>
      </c>
      <c r="B17" s="463" t="str">
        <f>PLANILHA!C55</f>
        <v>SERVIÇOS  E EQUIPAMENTOS COMPLEMENTARES</v>
      </c>
      <c r="C17" s="464"/>
      <c r="D17" s="105">
        <f>PLANILHA!I61</f>
        <v>10954.64</v>
      </c>
      <c r="E17" s="506">
        <f t="shared" si="0"/>
        <v>7.1327894264300057E-2</v>
      </c>
      <c r="F17" s="508">
        <v>0.5</v>
      </c>
      <c r="G17" s="106">
        <f t="shared" si="1"/>
        <v>5477.32</v>
      </c>
      <c r="H17" s="508">
        <v>0.5</v>
      </c>
      <c r="I17" s="106">
        <f t="shared" si="2"/>
        <v>5477.32</v>
      </c>
      <c r="J17" s="508">
        <v>0</v>
      </c>
      <c r="K17" s="107">
        <f t="shared" si="3"/>
        <v>0</v>
      </c>
      <c r="L17" s="508">
        <v>0</v>
      </c>
      <c r="M17" s="107">
        <f t="shared" si="4"/>
        <v>0</v>
      </c>
      <c r="N17" s="508">
        <v>0</v>
      </c>
      <c r="O17" s="107">
        <f t="shared" si="5"/>
        <v>0</v>
      </c>
      <c r="P17" s="508">
        <v>0</v>
      </c>
      <c r="Q17" s="107">
        <f t="shared" si="6"/>
        <v>0</v>
      </c>
      <c r="R17" s="108">
        <f t="shared" si="7"/>
        <v>10954.64</v>
      </c>
      <c r="S17" s="145">
        <f t="shared" si="8"/>
        <v>0</v>
      </c>
    </row>
    <row r="18" spans="1:19" ht="15" customHeight="1" x14ac:dyDescent="0.2">
      <c r="A18" s="104">
        <v>8</v>
      </c>
      <c r="B18" s="463" t="str">
        <f>PLANILHA!C63</f>
        <v>COBERTURA</v>
      </c>
      <c r="C18" s="464"/>
      <c r="D18" s="105">
        <f>PLANILHA!I67</f>
        <v>16164.59</v>
      </c>
      <c r="E18" s="506">
        <f t="shared" si="0"/>
        <v>0.1052509408201239</v>
      </c>
      <c r="F18" s="508">
        <v>0.3</v>
      </c>
      <c r="G18" s="106">
        <f>D18*F18</f>
        <v>4849.3769999999995</v>
      </c>
      <c r="H18" s="508">
        <v>0.4</v>
      </c>
      <c r="I18" s="106">
        <f t="shared" si="2"/>
        <v>6465.8360000000002</v>
      </c>
      <c r="J18" s="508">
        <v>0.3</v>
      </c>
      <c r="K18" s="107">
        <f t="shared" si="3"/>
        <v>4849.3769999999995</v>
      </c>
      <c r="L18" s="508">
        <v>0</v>
      </c>
      <c r="M18" s="107">
        <f t="shared" si="4"/>
        <v>0</v>
      </c>
      <c r="N18" s="508">
        <v>0</v>
      </c>
      <c r="O18" s="107">
        <f t="shared" si="5"/>
        <v>0</v>
      </c>
      <c r="P18" s="508">
        <v>0</v>
      </c>
      <c r="Q18" s="107">
        <f t="shared" si="6"/>
        <v>0</v>
      </c>
      <c r="R18" s="108">
        <f t="shared" si="7"/>
        <v>16164.59</v>
      </c>
      <c r="S18" s="145">
        <f t="shared" si="8"/>
        <v>0</v>
      </c>
    </row>
    <row r="19" spans="1:19" ht="15" customHeight="1" x14ac:dyDescent="0.2">
      <c r="A19" s="104">
        <v>9</v>
      </c>
      <c r="B19" s="463" t="str">
        <f>PLANILHA!C69</f>
        <v>MURO DE CONTENÇÃO</v>
      </c>
      <c r="C19" s="464"/>
      <c r="D19" s="105">
        <f>PLANILHA!I74</f>
        <v>30107.530000000002</v>
      </c>
      <c r="E19" s="506">
        <f t="shared" si="0"/>
        <v>0.19603626558236895</v>
      </c>
      <c r="F19" s="508">
        <v>0.15</v>
      </c>
      <c r="G19" s="106">
        <f>D19*F19</f>
        <v>4516.1295</v>
      </c>
      <c r="H19" s="508">
        <v>0.2</v>
      </c>
      <c r="I19" s="106">
        <f t="shared" si="2"/>
        <v>6021.5060000000012</v>
      </c>
      <c r="J19" s="508">
        <v>0.2</v>
      </c>
      <c r="K19" s="107">
        <f t="shared" si="3"/>
        <v>6021.5060000000012</v>
      </c>
      <c r="L19" s="508">
        <v>0.15</v>
      </c>
      <c r="M19" s="107">
        <f t="shared" si="4"/>
        <v>4516.1295</v>
      </c>
      <c r="N19" s="508">
        <v>0.15</v>
      </c>
      <c r="O19" s="107">
        <f>D19*N19</f>
        <v>4516.1295</v>
      </c>
      <c r="P19" s="508">
        <v>0.15</v>
      </c>
      <c r="Q19" s="107">
        <f>D19*P19</f>
        <v>4516.1295</v>
      </c>
      <c r="R19" s="108">
        <f>G19+I19+K19+M19+O19+Q19</f>
        <v>30107.53</v>
      </c>
      <c r="S19" s="145">
        <f t="shared" si="8"/>
        <v>0</v>
      </c>
    </row>
    <row r="20" spans="1:19" ht="15" customHeight="1" thickBot="1" x14ac:dyDescent="0.25">
      <c r="A20" s="104">
        <v>10</v>
      </c>
      <c r="B20" s="463" t="str">
        <f>PLANILHA!C76</f>
        <v>RECOMPOSIÇÃO DE JARDINS</v>
      </c>
      <c r="C20" s="464"/>
      <c r="D20" s="105">
        <f>PLANILHA!I80</f>
        <v>721.83999999999992</v>
      </c>
      <c r="E20" s="506">
        <f t="shared" si="0"/>
        <v>4.7000473950529042E-3</v>
      </c>
      <c r="F20" s="508">
        <v>0</v>
      </c>
      <c r="G20" s="106">
        <f>D20*F20</f>
        <v>0</v>
      </c>
      <c r="H20" s="508">
        <v>0</v>
      </c>
      <c r="I20" s="106">
        <f t="shared" si="2"/>
        <v>0</v>
      </c>
      <c r="J20" s="508">
        <v>0</v>
      </c>
      <c r="K20" s="107">
        <f t="shared" si="3"/>
        <v>0</v>
      </c>
      <c r="L20" s="508">
        <v>0.3</v>
      </c>
      <c r="M20" s="107">
        <f t="shared" si="4"/>
        <v>216.55199999999996</v>
      </c>
      <c r="N20" s="508">
        <v>0.4</v>
      </c>
      <c r="O20" s="107">
        <f>D20*N20</f>
        <v>288.73599999999999</v>
      </c>
      <c r="P20" s="508">
        <v>0.3</v>
      </c>
      <c r="Q20" s="107">
        <f>D20*P20</f>
        <v>216.55199999999996</v>
      </c>
      <c r="R20" s="108">
        <f>O20+Q20+M20</f>
        <v>721.83999999999992</v>
      </c>
      <c r="S20" s="145">
        <f t="shared" si="8"/>
        <v>0</v>
      </c>
    </row>
    <row r="21" spans="1:19" ht="15" customHeight="1" thickBot="1" x14ac:dyDescent="0.25">
      <c r="A21" s="109" t="s">
        <v>80</v>
      </c>
      <c r="B21" s="110"/>
      <c r="C21" s="111"/>
      <c r="D21" s="112">
        <f>SUM(D11:D20)</f>
        <v>153581.43</v>
      </c>
      <c r="E21" s="509">
        <f>SUM(E11:E20)</f>
        <v>1</v>
      </c>
      <c r="F21" s="510"/>
      <c r="G21" s="173">
        <f>SUM(G11:G20)</f>
        <v>31141.7575</v>
      </c>
      <c r="H21" s="173"/>
      <c r="I21" s="173">
        <f>SUM(I11:I20)</f>
        <v>35173.745500000005</v>
      </c>
      <c r="J21" s="173"/>
      <c r="K21" s="173">
        <f>SUM(K11:K20)</f>
        <v>26663.183500000003</v>
      </c>
      <c r="L21" s="173"/>
      <c r="M21" s="173">
        <f>SUM(M11:M20)</f>
        <v>22308.317999999996</v>
      </c>
      <c r="N21" s="173"/>
      <c r="O21" s="173">
        <f>SUM(O11:O20)</f>
        <v>20065.860999999997</v>
      </c>
      <c r="P21" s="173"/>
      <c r="Q21" s="173">
        <f>SUM(Q11:Q20)</f>
        <v>18228.564499999997</v>
      </c>
      <c r="R21" s="174">
        <f>SUM(R11:S20)</f>
        <v>153581.42999999996</v>
      </c>
    </row>
    <row r="22" spans="1:19" ht="15" customHeight="1" x14ac:dyDescent="0.2">
      <c r="A22" s="88"/>
      <c r="B22" s="625"/>
      <c r="C22" s="625"/>
      <c r="D22" s="634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82"/>
    </row>
    <row r="23" spans="1:19" ht="15" customHeight="1" x14ac:dyDescent="0.2">
      <c r="A23" s="88"/>
      <c r="B23" s="625"/>
      <c r="C23" s="625"/>
      <c r="D23" s="634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82"/>
    </row>
    <row r="24" spans="1:19" ht="15" customHeight="1" x14ac:dyDescent="0.2">
      <c r="A24" s="88"/>
      <c r="B24" s="625"/>
      <c r="C24" s="625"/>
      <c r="D24" s="634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82"/>
    </row>
    <row r="25" spans="1:19" ht="15" customHeight="1" x14ac:dyDescent="0.2">
      <c r="A25" s="88" t="s">
        <v>104</v>
      </c>
      <c r="B25" s="635">
        <v>45761</v>
      </c>
      <c r="C25" s="625"/>
      <c r="D25" s="634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82"/>
    </row>
    <row r="26" spans="1:19" x14ac:dyDescent="0.2">
      <c r="A26" s="88"/>
      <c r="B26" s="625"/>
      <c r="C26" s="625"/>
      <c r="D26" s="634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82"/>
    </row>
    <row r="27" spans="1:19" x14ac:dyDescent="0.2">
      <c r="A27" s="88"/>
      <c r="B27" s="625"/>
      <c r="C27" s="625"/>
      <c r="D27" s="634"/>
      <c r="E27" s="625"/>
      <c r="F27" s="625"/>
      <c r="G27" s="625"/>
      <c r="H27" s="625"/>
      <c r="I27" s="636"/>
      <c r="J27" s="636"/>
      <c r="K27" s="636"/>
      <c r="L27" s="636"/>
      <c r="M27" s="636"/>
      <c r="N27" s="636"/>
      <c r="O27" s="636"/>
      <c r="P27" s="636"/>
      <c r="Q27" s="636"/>
      <c r="R27" s="82"/>
    </row>
    <row r="28" spans="1:19" ht="15" x14ac:dyDescent="0.25">
      <c r="A28" s="88"/>
      <c r="B28" s="625"/>
      <c r="C28" s="625"/>
      <c r="D28" s="331" t="s">
        <v>127</v>
      </c>
      <c r="E28" s="331"/>
      <c r="F28" s="331"/>
      <c r="G28" s="331"/>
      <c r="H28" s="331"/>
      <c r="I28" s="331"/>
      <c r="J28" s="637"/>
      <c r="K28" s="637"/>
      <c r="L28" s="637"/>
      <c r="M28" s="637"/>
      <c r="N28" s="637"/>
      <c r="O28" s="637"/>
      <c r="P28" s="637"/>
      <c r="Q28" s="637"/>
      <c r="R28" s="82"/>
    </row>
    <row r="29" spans="1:19" ht="13.5" thickBot="1" x14ac:dyDescent="0.25">
      <c r="A29" s="113"/>
      <c r="B29" s="86"/>
      <c r="C29" s="86"/>
      <c r="D29" s="638" t="s">
        <v>128</v>
      </c>
      <c r="E29" s="638"/>
      <c r="F29" s="638"/>
      <c r="G29" s="638"/>
      <c r="H29" s="638"/>
      <c r="I29" s="638"/>
      <c r="J29" s="86"/>
      <c r="K29" s="86"/>
      <c r="L29" s="86"/>
      <c r="M29" s="86"/>
      <c r="N29" s="86"/>
      <c r="O29" s="86"/>
      <c r="P29" s="86"/>
      <c r="Q29" s="86"/>
      <c r="R29" s="87"/>
    </row>
  </sheetData>
  <mergeCells count="27">
    <mergeCell ref="D29:I29"/>
    <mergeCell ref="D28:I28"/>
    <mergeCell ref="B15:C15"/>
    <mergeCell ref="B11:C11"/>
    <mergeCell ref="A2:R2"/>
    <mergeCell ref="A5:R5"/>
    <mergeCell ref="H9:I9"/>
    <mergeCell ref="A3:R3"/>
    <mergeCell ref="R8:R10"/>
    <mergeCell ref="A4:R4"/>
    <mergeCell ref="F9:G9"/>
    <mergeCell ref="J9:K9"/>
    <mergeCell ref="A6:E6"/>
    <mergeCell ref="F8:K8"/>
    <mergeCell ref="B13:C13"/>
    <mergeCell ref="B19:C19"/>
    <mergeCell ref="B20:C20"/>
    <mergeCell ref="B14:C14"/>
    <mergeCell ref="B16:C16"/>
    <mergeCell ref="B18:C18"/>
    <mergeCell ref="N9:O9"/>
    <mergeCell ref="A1:R1"/>
    <mergeCell ref="L9:M9"/>
    <mergeCell ref="A8:A10"/>
    <mergeCell ref="B17:C17"/>
    <mergeCell ref="B12:C12"/>
    <mergeCell ref="P9:Q9"/>
  </mergeCells>
  <pageMargins left="0.23622047244094491" right="0.23622047244094491" top="0.87656250000000002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tabSelected="1" workbookViewId="0">
      <selection activeCell="A19" sqref="A19:B19"/>
    </sheetView>
  </sheetViews>
  <sheetFormatPr defaultRowHeight="12.75" x14ac:dyDescent="0.2"/>
  <cols>
    <col min="1" max="1" width="28.42578125" style="116" customWidth="1"/>
    <col min="2" max="2" width="32" style="116" bestFit="1" customWidth="1"/>
    <col min="3" max="3" width="17.28515625" style="116" bestFit="1" customWidth="1"/>
    <col min="4" max="4" width="28" style="116" customWidth="1"/>
    <col min="5" max="5" width="24.5703125" style="116" customWidth="1"/>
    <col min="6" max="256" width="8.85546875" style="116"/>
    <col min="257" max="257" width="29.7109375" style="116" bestFit="1" customWidth="1"/>
    <col min="258" max="258" width="39.85546875" style="116" bestFit="1" customWidth="1"/>
    <col min="259" max="259" width="21.7109375" style="116" customWidth="1"/>
    <col min="260" max="260" width="28" style="116" customWidth="1"/>
    <col min="261" max="261" width="24.5703125" style="116" customWidth="1"/>
    <col min="262" max="512" width="8.85546875" style="116"/>
    <col min="513" max="513" width="29.7109375" style="116" bestFit="1" customWidth="1"/>
    <col min="514" max="514" width="39.85546875" style="116" bestFit="1" customWidth="1"/>
    <col min="515" max="515" width="21.7109375" style="116" customWidth="1"/>
    <col min="516" max="516" width="28" style="116" customWidth="1"/>
    <col min="517" max="517" width="24.5703125" style="116" customWidth="1"/>
    <col min="518" max="768" width="8.85546875" style="116"/>
    <col min="769" max="769" width="29.7109375" style="116" bestFit="1" customWidth="1"/>
    <col min="770" max="770" width="39.85546875" style="116" bestFit="1" customWidth="1"/>
    <col min="771" max="771" width="21.7109375" style="116" customWidth="1"/>
    <col min="772" max="772" width="28" style="116" customWidth="1"/>
    <col min="773" max="773" width="24.5703125" style="116" customWidth="1"/>
    <col min="774" max="1024" width="8.85546875" style="116"/>
    <col min="1025" max="1025" width="29.7109375" style="116" bestFit="1" customWidth="1"/>
    <col min="1026" max="1026" width="39.85546875" style="116" bestFit="1" customWidth="1"/>
    <col min="1027" max="1027" width="21.7109375" style="116" customWidth="1"/>
    <col min="1028" max="1028" width="28" style="116" customWidth="1"/>
    <col min="1029" max="1029" width="24.5703125" style="116" customWidth="1"/>
    <col min="1030" max="1280" width="8.85546875" style="116"/>
    <col min="1281" max="1281" width="29.7109375" style="116" bestFit="1" customWidth="1"/>
    <col min="1282" max="1282" width="39.85546875" style="116" bestFit="1" customWidth="1"/>
    <col min="1283" max="1283" width="21.7109375" style="116" customWidth="1"/>
    <col min="1284" max="1284" width="28" style="116" customWidth="1"/>
    <col min="1285" max="1285" width="24.5703125" style="116" customWidth="1"/>
    <col min="1286" max="1536" width="8.85546875" style="116"/>
    <col min="1537" max="1537" width="29.7109375" style="116" bestFit="1" customWidth="1"/>
    <col min="1538" max="1538" width="39.85546875" style="116" bestFit="1" customWidth="1"/>
    <col min="1539" max="1539" width="21.7109375" style="116" customWidth="1"/>
    <col min="1540" max="1540" width="28" style="116" customWidth="1"/>
    <col min="1541" max="1541" width="24.5703125" style="116" customWidth="1"/>
    <col min="1542" max="1792" width="8.85546875" style="116"/>
    <col min="1793" max="1793" width="29.7109375" style="116" bestFit="1" customWidth="1"/>
    <col min="1794" max="1794" width="39.85546875" style="116" bestFit="1" customWidth="1"/>
    <col min="1795" max="1795" width="21.7109375" style="116" customWidth="1"/>
    <col min="1796" max="1796" width="28" style="116" customWidth="1"/>
    <col min="1797" max="1797" width="24.5703125" style="116" customWidth="1"/>
    <col min="1798" max="2048" width="8.85546875" style="116"/>
    <col min="2049" max="2049" width="29.7109375" style="116" bestFit="1" customWidth="1"/>
    <col min="2050" max="2050" width="39.85546875" style="116" bestFit="1" customWidth="1"/>
    <col min="2051" max="2051" width="21.7109375" style="116" customWidth="1"/>
    <col min="2052" max="2052" width="28" style="116" customWidth="1"/>
    <col min="2053" max="2053" width="24.5703125" style="116" customWidth="1"/>
    <col min="2054" max="2304" width="8.85546875" style="116"/>
    <col min="2305" max="2305" width="29.7109375" style="116" bestFit="1" customWidth="1"/>
    <col min="2306" max="2306" width="39.85546875" style="116" bestFit="1" customWidth="1"/>
    <col min="2307" max="2307" width="21.7109375" style="116" customWidth="1"/>
    <col min="2308" max="2308" width="28" style="116" customWidth="1"/>
    <col min="2309" max="2309" width="24.5703125" style="116" customWidth="1"/>
    <col min="2310" max="2560" width="8.85546875" style="116"/>
    <col min="2561" max="2561" width="29.7109375" style="116" bestFit="1" customWidth="1"/>
    <col min="2562" max="2562" width="39.85546875" style="116" bestFit="1" customWidth="1"/>
    <col min="2563" max="2563" width="21.7109375" style="116" customWidth="1"/>
    <col min="2564" max="2564" width="28" style="116" customWidth="1"/>
    <col min="2565" max="2565" width="24.5703125" style="116" customWidth="1"/>
    <col min="2566" max="2816" width="8.85546875" style="116"/>
    <col min="2817" max="2817" width="29.7109375" style="116" bestFit="1" customWidth="1"/>
    <col min="2818" max="2818" width="39.85546875" style="116" bestFit="1" customWidth="1"/>
    <col min="2819" max="2819" width="21.7109375" style="116" customWidth="1"/>
    <col min="2820" max="2820" width="28" style="116" customWidth="1"/>
    <col min="2821" max="2821" width="24.5703125" style="116" customWidth="1"/>
    <col min="2822" max="3072" width="8.85546875" style="116"/>
    <col min="3073" max="3073" width="29.7109375" style="116" bestFit="1" customWidth="1"/>
    <col min="3074" max="3074" width="39.85546875" style="116" bestFit="1" customWidth="1"/>
    <col min="3075" max="3075" width="21.7109375" style="116" customWidth="1"/>
    <col min="3076" max="3076" width="28" style="116" customWidth="1"/>
    <col min="3077" max="3077" width="24.5703125" style="116" customWidth="1"/>
    <col min="3078" max="3328" width="8.85546875" style="116"/>
    <col min="3329" max="3329" width="29.7109375" style="116" bestFit="1" customWidth="1"/>
    <col min="3330" max="3330" width="39.85546875" style="116" bestFit="1" customWidth="1"/>
    <col min="3331" max="3331" width="21.7109375" style="116" customWidth="1"/>
    <col min="3332" max="3332" width="28" style="116" customWidth="1"/>
    <col min="3333" max="3333" width="24.5703125" style="116" customWidth="1"/>
    <col min="3334" max="3584" width="8.85546875" style="116"/>
    <col min="3585" max="3585" width="29.7109375" style="116" bestFit="1" customWidth="1"/>
    <col min="3586" max="3586" width="39.85546875" style="116" bestFit="1" customWidth="1"/>
    <col min="3587" max="3587" width="21.7109375" style="116" customWidth="1"/>
    <col min="3588" max="3588" width="28" style="116" customWidth="1"/>
    <col min="3589" max="3589" width="24.5703125" style="116" customWidth="1"/>
    <col min="3590" max="3840" width="8.85546875" style="116"/>
    <col min="3841" max="3841" width="29.7109375" style="116" bestFit="1" customWidth="1"/>
    <col min="3842" max="3842" width="39.85546875" style="116" bestFit="1" customWidth="1"/>
    <col min="3843" max="3843" width="21.7109375" style="116" customWidth="1"/>
    <col min="3844" max="3844" width="28" style="116" customWidth="1"/>
    <col min="3845" max="3845" width="24.5703125" style="116" customWidth="1"/>
    <col min="3846" max="4096" width="8.85546875" style="116"/>
    <col min="4097" max="4097" width="29.7109375" style="116" bestFit="1" customWidth="1"/>
    <col min="4098" max="4098" width="39.85546875" style="116" bestFit="1" customWidth="1"/>
    <col min="4099" max="4099" width="21.7109375" style="116" customWidth="1"/>
    <col min="4100" max="4100" width="28" style="116" customWidth="1"/>
    <col min="4101" max="4101" width="24.5703125" style="116" customWidth="1"/>
    <col min="4102" max="4352" width="8.85546875" style="116"/>
    <col min="4353" max="4353" width="29.7109375" style="116" bestFit="1" customWidth="1"/>
    <col min="4354" max="4354" width="39.85546875" style="116" bestFit="1" customWidth="1"/>
    <col min="4355" max="4355" width="21.7109375" style="116" customWidth="1"/>
    <col min="4356" max="4356" width="28" style="116" customWidth="1"/>
    <col min="4357" max="4357" width="24.5703125" style="116" customWidth="1"/>
    <col min="4358" max="4608" width="8.85546875" style="116"/>
    <col min="4609" max="4609" width="29.7109375" style="116" bestFit="1" customWidth="1"/>
    <col min="4610" max="4610" width="39.85546875" style="116" bestFit="1" customWidth="1"/>
    <col min="4611" max="4611" width="21.7109375" style="116" customWidth="1"/>
    <col min="4612" max="4612" width="28" style="116" customWidth="1"/>
    <col min="4613" max="4613" width="24.5703125" style="116" customWidth="1"/>
    <col min="4614" max="4864" width="8.85546875" style="116"/>
    <col min="4865" max="4865" width="29.7109375" style="116" bestFit="1" customWidth="1"/>
    <col min="4866" max="4866" width="39.85546875" style="116" bestFit="1" customWidth="1"/>
    <col min="4867" max="4867" width="21.7109375" style="116" customWidth="1"/>
    <col min="4868" max="4868" width="28" style="116" customWidth="1"/>
    <col min="4869" max="4869" width="24.5703125" style="116" customWidth="1"/>
    <col min="4870" max="5120" width="8.85546875" style="116"/>
    <col min="5121" max="5121" width="29.7109375" style="116" bestFit="1" customWidth="1"/>
    <col min="5122" max="5122" width="39.85546875" style="116" bestFit="1" customWidth="1"/>
    <col min="5123" max="5123" width="21.7109375" style="116" customWidth="1"/>
    <col min="5124" max="5124" width="28" style="116" customWidth="1"/>
    <col min="5125" max="5125" width="24.5703125" style="116" customWidth="1"/>
    <col min="5126" max="5376" width="8.85546875" style="116"/>
    <col min="5377" max="5377" width="29.7109375" style="116" bestFit="1" customWidth="1"/>
    <col min="5378" max="5378" width="39.85546875" style="116" bestFit="1" customWidth="1"/>
    <col min="5379" max="5379" width="21.7109375" style="116" customWidth="1"/>
    <col min="5380" max="5380" width="28" style="116" customWidth="1"/>
    <col min="5381" max="5381" width="24.5703125" style="116" customWidth="1"/>
    <col min="5382" max="5632" width="8.85546875" style="116"/>
    <col min="5633" max="5633" width="29.7109375" style="116" bestFit="1" customWidth="1"/>
    <col min="5634" max="5634" width="39.85546875" style="116" bestFit="1" customWidth="1"/>
    <col min="5635" max="5635" width="21.7109375" style="116" customWidth="1"/>
    <col min="5636" max="5636" width="28" style="116" customWidth="1"/>
    <col min="5637" max="5637" width="24.5703125" style="116" customWidth="1"/>
    <col min="5638" max="5888" width="8.85546875" style="116"/>
    <col min="5889" max="5889" width="29.7109375" style="116" bestFit="1" customWidth="1"/>
    <col min="5890" max="5890" width="39.85546875" style="116" bestFit="1" customWidth="1"/>
    <col min="5891" max="5891" width="21.7109375" style="116" customWidth="1"/>
    <col min="5892" max="5892" width="28" style="116" customWidth="1"/>
    <col min="5893" max="5893" width="24.5703125" style="116" customWidth="1"/>
    <col min="5894" max="6144" width="8.85546875" style="116"/>
    <col min="6145" max="6145" width="29.7109375" style="116" bestFit="1" customWidth="1"/>
    <col min="6146" max="6146" width="39.85546875" style="116" bestFit="1" customWidth="1"/>
    <col min="6147" max="6147" width="21.7109375" style="116" customWidth="1"/>
    <col min="6148" max="6148" width="28" style="116" customWidth="1"/>
    <col min="6149" max="6149" width="24.5703125" style="116" customWidth="1"/>
    <col min="6150" max="6400" width="8.85546875" style="116"/>
    <col min="6401" max="6401" width="29.7109375" style="116" bestFit="1" customWidth="1"/>
    <col min="6402" max="6402" width="39.85546875" style="116" bestFit="1" customWidth="1"/>
    <col min="6403" max="6403" width="21.7109375" style="116" customWidth="1"/>
    <col min="6404" max="6404" width="28" style="116" customWidth="1"/>
    <col min="6405" max="6405" width="24.5703125" style="116" customWidth="1"/>
    <col min="6406" max="6656" width="8.85546875" style="116"/>
    <col min="6657" max="6657" width="29.7109375" style="116" bestFit="1" customWidth="1"/>
    <col min="6658" max="6658" width="39.85546875" style="116" bestFit="1" customWidth="1"/>
    <col min="6659" max="6659" width="21.7109375" style="116" customWidth="1"/>
    <col min="6660" max="6660" width="28" style="116" customWidth="1"/>
    <col min="6661" max="6661" width="24.5703125" style="116" customWidth="1"/>
    <col min="6662" max="6912" width="8.85546875" style="116"/>
    <col min="6913" max="6913" width="29.7109375" style="116" bestFit="1" customWidth="1"/>
    <col min="6914" max="6914" width="39.85546875" style="116" bestFit="1" customWidth="1"/>
    <col min="6915" max="6915" width="21.7109375" style="116" customWidth="1"/>
    <col min="6916" max="6916" width="28" style="116" customWidth="1"/>
    <col min="6917" max="6917" width="24.5703125" style="116" customWidth="1"/>
    <col min="6918" max="7168" width="8.85546875" style="116"/>
    <col min="7169" max="7169" width="29.7109375" style="116" bestFit="1" customWidth="1"/>
    <col min="7170" max="7170" width="39.85546875" style="116" bestFit="1" customWidth="1"/>
    <col min="7171" max="7171" width="21.7109375" style="116" customWidth="1"/>
    <col min="7172" max="7172" width="28" style="116" customWidth="1"/>
    <col min="7173" max="7173" width="24.5703125" style="116" customWidth="1"/>
    <col min="7174" max="7424" width="8.85546875" style="116"/>
    <col min="7425" max="7425" width="29.7109375" style="116" bestFit="1" customWidth="1"/>
    <col min="7426" max="7426" width="39.85546875" style="116" bestFit="1" customWidth="1"/>
    <col min="7427" max="7427" width="21.7109375" style="116" customWidth="1"/>
    <col min="7428" max="7428" width="28" style="116" customWidth="1"/>
    <col min="7429" max="7429" width="24.5703125" style="116" customWidth="1"/>
    <col min="7430" max="7680" width="8.85546875" style="116"/>
    <col min="7681" max="7681" width="29.7109375" style="116" bestFit="1" customWidth="1"/>
    <col min="7682" max="7682" width="39.85546875" style="116" bestFit="1" customWidth="1"/>
    <col min="7683" max="7683" width="21.7109375" style="116" customWidth="1"/>
    <col min="7684" max="7684" width="28" style="116" customWidth="1"/>
    <col min="7685" max="7685" width="24.5703125" style="116" customWidth="1"/>
    <col min="7686" max="7936" width="8.85546875" style="116"/>
    <col min="7937" max="7937" width="29.7109375" style="116" bestFit="1" customWidth="1"/>
    <col min="7938" max="7938" width="39.85546875" style="116" bestFit="1" customWidth="1"/>
    <col min="7939" max="7939" width="21.7109375" style="116" customWidth="1"/>
    <col min="7940" max="7940" width="28" style="116" customWidth="1"/>
    <col min="7941" max="7941" width="24.5703125" style="116" customWidth="1"/>
    <col min="7942" max="8192" width="8.85546875" style="116"/>
    <col min="8193" max="8193" width="29.7109375" style="116" bestFit="1" customWidth="1"/>
    <col min="8194" max="8194" width="39.85546875" style="116" bestFit="1" customWidth="1"/>
    <col min="8195" max="8195" width="21.7109375" style="116" customWidth="1"/>
    <col min="8196" max="8196" width="28" style="116" customWidth="1"/>
    <col min="8197" max="8197" width="24.5703125" style="116" customWidth="1"/>
    <col min="8198" max="8448" width="8.85546875" style="116"/>
    <col min="8449" max="8449" width="29.7109375" style="116" bestFit="1" customWidth="1"/>
    <col min="8450" max="8450" width="39.85546875" style="116" bestFit="1" customWidth="1"/>
    <col min="8451" max="8451" width="21.7109375" style="116" customWidth="1"/>
    <col min="8452" max="8452" width="28" style="116" customWidth="1"/>
    <col min="8453" max="8453" width="24.5703125" style="116" customWidth="1"/>
    <col min="8454" max="8704" width="8.85546875" style="116"/>
    <col min="8705" max="8705" width="29.7109375" style="116" bestFit="1" customWidth="1"/>
    <col min="8706" max="8706" width="39.85546875" style="116" bestFit="1" customWidth="1"/>
    <col min="8707" max="8707" width="21.7109375" style="116" customWidth="1"/>
    <col min="8708" max="8708" width="28" style="116" customWidth="1"/>
    <col min="8709" max="8709" width="24.5703125" style="116" customWidth="1"/>
    <col min="8710" max="8960" width="8.85546875" style="116"/>
    <col min="8961" max="8961" width="29.7109375" style="116" bestFit="1" customWidth="1"/>
    <col min="8962" max="8962" width="39.85546875" style="116" bestFit="1" customWidth="1"/>
    <col min="8963" max="8963" width="21.7109375" style="116" customWidth="1"/>
    <col min="8964" max="8964" width="28" style="116" customWidth="1"/>
    <col min="8965" max="8965" width="24.5703125" style="116" customWidth="1"/>
    <col min="8966" max="9216" width="8.85546875" style="116"/>
    <col min="9217" max="9217" width="29.7109375" style="116" bestFit="1" customWidth="1"/>
    <col min="9218" max="9218" width="39.85546875" style="116" bestFit="1" customWidth="1"/>
    <col min="9219" max="9219" width="21.7109375" style="116" customWidth="1"/>
    <col min="9220" max="9220" width="28" style="116" customWidth="1"/>
    <col min="9221" max="9221" width="24.5703125" style="116" customWidth="1"/>
    <col min="9222" max="9472" width="8.85546875" style="116"/>
    <col min="9473" max="9473" width="29.7109375" style="116" bestFit="1" customWidth="1"/>
    <col min="9474" max="9474" width="39.85546875" style="116" bestFit="1" customWidth="1"/>
    <col min="9475" max="9475" width="21.7109375" style="116" customWidth="1"/>
    <col min="9476" max="9476" width="28" style="116" customWidth="1"/>
    <col min="9477" max="9477" width="24.5703125" style="116" customWidth="1"/>
    <col min="9478" max="9728" width="8.85546875" style="116"/>
    <col min="9729" max="9729" width="29.7109375" style="116" bestFit="1" customWidth="1"/>
    <col min="9730" max="9730" width="39.85546875" style="116" bestFit="1" customWidth="1"/>
    <col min="9731" max="9731" width="21.7109375" style="116" customWidth="1"/>
    <col min="9732" max="9732" width="28" style="116" customWidth="1"/>
    <col min="9733" max="9733" width="24.5703125" style="116" customWidth="1"/>
    <col min="9734" max="9984" width="8.85546875" style="116"/>
    <col min="9985" max="9985" width="29.7109375" style="116" bestFit="1" customWidth="1"/>
    <col min="9986" max="9986" width="39.85546875" style="116" bestFit="1" customWidth="1"/>
    <col min="9987" max="9987" width="21.7109375" style="116" customWidth="1"/>
    <col min="9988" max="9988" width="28" style="116" customWidth="1"/>
    <col min="9989" max="9989" width="24.5703125" style="116" customWidth="1"/>
    <col min="9990" max="10240" width="8.85546875" style="116"/>
    <col min="10241" max="10241" width="29.7109375" style="116" bestFit="1" customWidth="1"/>
    <col min="10242" max="10242" width="39.85546875" style="116" bestFit="1" customWidth="1"/>
    <col min="10243" max="10243" width="21.7109375" style="116" customWidth="1"/>
    <col min="10244" max="10244" width="28" style="116" customWidth="1"/>
    <col min="10245" max="10245" width="24.5703125" style="116" customWidth="1"/>
    <col min="10246" max="10496" width="8.85546875" style="116"/>
    <col min="10497" max="10497" width="29.7109375" style="116" bestFit="1" customWidth="1"/>
    <col min="10498" max="10498" width="39.85546875" style="116" bestFit="1" customWidth="1"/>
    <col min="10499" max="10499" width="21.7109375" style="116" customWidth="1"/>
    <col min="10500" max="10500" width="28" style="116" customWidth="1"/>
    <col min="10501" max="10501" width="24.5703125" style="116" customWidth="1"/>
    <col min="10502" max="10752" width="8.85546875" style="116"/>
    <col min="10753" max="10753" width="29.7109375" style="116" bestFit="1" customWidth="1"/>
    <col min="10754" max="10754" width="39.85546875" style="116" bestFit="1" customWidth="1"/>
    <col min="10755" max="10755" width="21.7109375" style="116" customWidth="1"/>
    <col min="10756" max="10756" width="28" style="116" customWidth="1"/>
    <col min="10757" max="10757" width="24.5703125" style="116" customWidth="1"/>
    <col min="10758" max="11008" width="8.85546875" style="116"/>
    <col min="11009" max="11009" width="29.7109375" style="116" bestFit="1" customWidth="1"/>
    <col min="11010" max="11010" width="39.85546875" style="116" bestFit="1" customWidth="1"/>
    <col min="11011" max="11011" width="21.7109375" style="116" customWidth="1"/>
    <col min="11012" max="11012" width="28" style="116" customWidth="1"/>
    <col min="11013" max="11013" width="24.5703125" style="116" customWidth="1"/>
    <col min="11014" max="11264" width="8.85546875" style="116"/>
    <col min="11265" max="11265" width="29.7109375" style="116" bestFit="1" customWidth="1"/>
    <col min="11266" max="11266" width="39.85546875" style="116" bestFit="1" customWidth="1"/>
    <col min="11267" max="11267" width="21.7109375" style="116" customWidth="1"/>
    <col min="11268" max="11268" width="28" style="116" customWidth="1"/>
    <col min="11269" max="11269" width="24.5703125" style="116" customWidth="1"/>
    <col min="11270" max="11520" width="8.85546875" style="116"/>
    <col min="11521" max="11521" width="29.7109375" style="116" bestFit="1" customWidth="1"/>
    <col min="11522" max="11522" width="39.85546875" style="116" bestFit="1" customWidth="1"/>
    <col min="11523" max="11523" width="21.7109375" style="116" customWidth="1"/>
    <col min="11524" max="11524" width="28" style="116" customWidth="1"/>
    <col min="11525" max="11525" width="24.5703125" style="116" customWidth="1"/>
    <col min="11526" max="11776" width="8.85546875" style="116"/>
    <col min="11777" max="11777" width="29.7109375" style="116" bestFit="1" customWidth="1"/>
    <col min="11778" max="11778" width="39.85546875" style="116" bestFit="1" customWidth="1"/>
    <col min="11779" max="11779" width="21.7109375" style="116" customWidth="1"/>
    <col min="11780" max="11780" width="28" style="116" customWidth="1"/>
    <col min="11781" max="11781" width="24.5703125" style="116" customWidth="1"/>
    <col min="11782" max="12032" width="8.85546875" style="116"/>
    <col min="12033" max="12033" width="29.7109375" style="116" bestFit="1" customWidth="1"/>
    <col min="12034" max="12034" width="39.85546875" style="116" bestFit="1" customWidth="1"/>
    <col min="12035" max="12035" width="21.7109375" style="116" customWidth="1"/>
    <col min="12036" max="12036" width="28" style="116" customWidth="1"/>
    <col min="12037" max="12037" width="24.5703125" style="116" customWidth="1"/>
    <col min="12038" max="12288" width="8.85546875" style="116"/>
    <col min="12289" max="12289" width="29.7109375" style="116" bestFit="1" customWidth="1"/>
    <col min="12290" max="12290" width="39.85546875" style="116" bestFit="1" customWidth="1"/>
    <col min="12291" max="12291" width="21.7109375" style="116" customWidth="1"/>
    <col min="12292" max="12292" width="28" style="116" customWidth="1"/>
    <col min="12293" max="12293" width="24.5703125" style="116" customWidth="1"/>
    <col min="12294" max="12544" width="8.85546875" style="116"/>
    <col min="12545" max="12545" width="29.7109375" style="116" bestFit="1" customWidth="1"/>
    <col min="12546" max="12546" width="39.85546875" style="116" bestFit="1" customWidth="1"/>
    <col min="12547" max="12547" width="21.7109375" style="116" customWidth="1"/>
    <col min="12548" max="12548" width="28" style="116" customWidth="1"/>
    <col min="12549" max="12549" width="24.5703125" style="116" customWidth="1"/>
    <col min="12550" max="12800" width="8.85546875" style="116"/>
    <col min="12801" max="12801" width="29.7109375" style="116" bestFit="1" customWidth="1"/>
    <col min="12802" max="12802" width="39.85546875" style="116" bestFit="1" customWidth="1"/>
    <col min="12803" max="12803" width="21.7109375" style="116" customWidth="1"/>
    <col min="12804" max="12804" width="28" style="116" customWidth="1"/>
    <col min="12805" max="12805" width="24.5703125" style="116" customWidth="1"/>
    <col min="12806" max="13056" width="8.85546875" style="116"/>
    <col min="13057" max="13057" width="29.7109375" style="116" bestFit="1" customWidth="1"/>
    <col min="13058" max="13058" width="39.85546875" style="116" bestFit="1" customWidth="1"/>
    <col min="13059" max="13059" width="21.7109375" style="116" customWidth="1"/>
    <col min="13060" max="13060" width="28" style="116" customWidth="1"/>
    <col min="13061" max="13061" width="24.5703125" style="116" customWidth="1"/>
    <col min="13062" max="13312" width="8.85546875" style="116"/>
    <col min="13313" max="13313" width="29.7109375" style="116" bestFit="1" customWidth="1"/>
    <col min="13314" max="13314" width="39.85546875" style="116" bestFit="1" customWidth="1"/>
    <col min="13315" max="13315" width="21.7109375" style="116" customWidth="1"/>
    <col min="13316" max="13316" width="28" style="116" customWidth="1"/>
    <col min="13317" max="13317" width="24.5703125" style="116" customWidth="1"/>
    <col min="13318" max="13568" width="8.85546875" style="116"/>
    <col min="13569" max="13569" width="29.7109375" style="116" bestFit="1" customWidth="1"/>
    <col min="13570" max="13570" width="39.85546875" style="116" bestFit="1" customWidth="1"/>
    <col min="13571" max="13571" width="21.7109375" style="116" customWidth="1"/>
    <col min="13572" max="13572" width="28" style="116" customWidth="1"/>
    <col min="13573" max="13573" width="24.5703125" style="116" customWidth="1"/>
    <col min="13574" max="13824" width="8.85546875" style="116"/>
    <col min="13825" max="13825" width="29.7109375" style="116" bestFit="1" customWidth="1"/>
    <col min="13826" max="13826" width="39.85546875" style="116" bestFit="1" customWidth="1"/>
    <col min="13827" max="13827" width="21.7109375" style="116" customWidth="1"/>
    <col min="13828" max="13828" width="28" style="116" customWidth="1"/>
    <col min="13829" max="13829" width="24.5703125" style="116" customWidth="1"/>
    <col min="13830" max="14080" width="8.85546875" style="116"/>
    <col min="14081" max="14081" width="29.7109375" style="116" bestFit="1" customWidth="1"/>
    <col min="14082" max="14082" width="39.85546875" style="116" bestFit="1" customWidth="1"/>
    <col min="14083" max="14083" width="21.7109375" style="116" customWidth="1"/>
    <col min="14084" max="14084" width="28" style="116" customWidth="1"/>
    <col min="14085" max="14085" width="24.5703125" style="116" customWidth="1"/>
    <col min="14086" max="14336" width="8.85546875" style="116"/>
    <col min="14337" max="14337" width="29.7109375" style="116" bestFit="1" customWidth="1"/>
    <col min="14338" max="14338" width="39.85546875" style="116" bestFit="1" customWidth="1"/>
    <col min="14339" max="14339" width="21.7109375" style="116" customWidth="1"/>
    <col min="14340" max="14340" width="28" style="116" customWidth="1"/>
    <col min="14341" max="14341" width="24.5703125" style="116" customWidth="1"/>
    <col min="14342" max="14592" width="8.85546875" style="116"/>
    <col min="14593" max="14593" width="29.7109375" style="116" bestFit="1" customWidth="1"/>
    <col min="14594" max="14594" width="39.85546875" style="116" bestFit="1" customWidth="1"/>
    <col min="14595" max="14595" width="21.7109375" style="116" customWidth="1"/>
    <col min="14596" max="14596" width="28" style="116" customWidth="1"/>
    <col min="14597" max="14597" width="24.5703125" style="116" customWidth="1"/>
    <col min="14598" max="14848" width="8.85546875" style="116"/>
    <col min="14849" max="14849" width="29.7109375" style="116" bestFit="1" customWidth="1"/>
    <col min="14850" max="14850" width="39.85546875" style="116" bestFit="1" customWidth="1"/>
    <col min="14851" max="14851" width="21.7109375" style="116" customWidth="1"/>
    <col min="14852" max="14852" width="28" style="116" customWidth="1"/>
    <col min="14853" max="14853" width="24.5703125" style="116" customWidth="1"/>
    <col min="14854" max="15104" width="8.85546875" style="116"/>
    <col min="15105" max="15105" width="29.7109375" style="116" bestFit="1" customWidth="1"/>
    <col min="15106" max="15106" width="39.85546875" style="116" bestFit="1" customWidth="1"/>
    <col min="15107" max="15107" width="21.7109375" style="116" customWidth="1"/>
    <col min="15108" max="15108" width="28" style="116" customWidth="1"/>
    <col min="15109" max="15109" width="24.5703125" style="116" customWidth="1"/>
    <col min="15110" max="15360" width="8.85546875" style="116"/>
    <col min="15361" max="15361" width="29.7109375" style="116" bestFit="1" customWidth="1"/>
    <col min="15362" max="15362" width="39.85546875" style="116" bestFit="1" customWidth="1"/>
    <col min="15363" max="15363" width="21.7109375" style="116" customWidth="1"/>
    <col min="15364" max="15364" width="28" style="116" customWidth="1"/>
    <col min="15365" max="15365" width="24.5703125" style="116" customWidth="1"/>
    <col min="15366" max="15616" width="8.85546875" style="116"/>
    <col min="15617" max="15617" width="29.7109375" style="116" bestFit="1" customWidth="1"/>
    <col min="15618" max="15618" width="39.85546875" style="116" bestFit="1" customWidth="1"/>
    <col min="15619" max="15619" width="21.7109375" style="116" customWidth="1"/>
    <col min="15620" max="15620" width="28" style="116" customWidth="1"/>
    <col min="15621" max="15621" width="24.5703125" style="116" customWidth="1"/>
    <col min="15622" max="15872" width="8.85546875" style="116"/>
    <col min="15873" max="15873" width="29.7109375" style="116" bestFit="1" customWidth="1"/>
    <col min="15874" max="15874" width="39.85546875" style="116" bestFit="1" customWidth="1"/>
    <col min="15875" max="15875" width="21.7109375" style="116" customWidth="1"/>
    <col min="15876" max="15876" width="28" style="116" customWidth="1"/>
    <col min="15877" max="15877" width="24.5703125" style="116" customWidth="1"/>
    <col min="15878" max="16128" width="8.85546875" style="116"/>
    <col min="16129" max="16129" width="29.7109375" style="116" bestFit="1" customWidth="1"/>
    <col min="16130" max="16130" width="39.85546875" style="116" bestFit="1" customWidth="1"/>
    <col min="16131" max="16131" width="21.7109375" style="116" customWidth="1"/>
    <col min="16132" max="16132" width="28" style="116" customWidth="1"/>
    <col min="16133" max="16133" width="24.5703125" style="116" customWidth="1"/>
    <col min="16134" max="16384" width="8.85546875" style="116"/>
  </cols>
  <sheetData>
    <row r="1" spans="1:8" x14ac:dyDescent="0.2">
      <c r="A1" s="485"/>
      <c r="B1" s="486"/>
      <c r="C1" s="486"/>
      <c r="D1" s="486"/>
      <c r="E1" s="487"/>
    </row>
    <row r="2" spans="1:8" x14ac:dyDescent="0.2">
      <c r="A2" s="488"/>
      <c r="B2" s="332"/>
      <c r="C2" s="332"/>
      <c r="D2" s="332"/>
      <c r="E2" s="484"/>
    </row>
    <row r="3" spans="1:8" ht="24" customHeight="1" x14ac:dyDescent="0.2">
      <c r="A3" s="488"/>
      <c r="B3" s="332"/>
      <c r="C3" s="332"/>
      <c r="D3" s="332"/>
      <c r="E3" s="484"/>
    </row>
    <row r="4" spans="1:8" ht="29.45" customHeight="1" x14ac:dyDescent="0.2">
      <c r="A4" s="489"/>
      <c r="B4" s="490"/>
      <c r="C4" s="490"/>
      <c r="D4" s="490"/>
      <c r="E4" s="491"/>
    </row>
    <row r="5" spans="1:8" ht="15.75" x14ac:dyDescent="0.2">
      <c r="A5" s="492" t="s">
        <v>129</v>
      </c>
      <c r="B5" s="493"/>
      <c r="C5" s="493"/>
      <c r="D5" s="493"/>
      <c r="E5" s="494"/>
    </row>
    <row r="6" spans="1:8" ht="25.15" customHeight="1" x14ac:dyDescent="0.2">
      <c r="A6" s="495" t="str">
        <f>PLANILHA!A4</f>
        <v>OBRA: OBRA DE REFORMA E CONSTRUÇÃO DE MURO DE CONTENÇÃO NA ESF BOTAFOGO</v>
      </c>
      <c r="B6" s="336"/>
      <c r="C6" s="336"/>
      <c r="D6" s="336"/>
      <c r="E6" s="337"/>
      <c r="H6" s="152"/>
    </row>
    <row r="7" spans="1:8" ht="21" x14ac:dyDescent="0.2">
      <c r="A7" s="496" t="s">
        <v>89</v>
      </c>
      <c r="B7" s="497"/>
      <c r="C7" s="497"/>
      <c r="D7" s="497"/>
      <c r="E7" s="498"/>
    </row>
    <row r="8" spans="1:8" x14ac:dyDescent="0.2">
      <c r="A8" s="129" t="s">
        <v>90</v>
      </c>
      <c r="B8" s="130" t="s">
        <v>124</v>
      </c>
      <c r="C8" s="130" t="s">
        <v>91</v>
      </c>
      <c r="D8" s="130" t="s">
        <v>92</v>
      </c>
      <c r="E8" s="149">
        <f>ROUND(((((1+(C9+C12+C14+C13))*(1+C11)*(1+C10))/(1-(C15+C16)))-1),2)</f>
        <v>0.2</v>
      </c>
    </row>
    <row r="9" spans="1:8" x14ac:dyDescent="0.2">
      <c r="A9" s="131" t="s">
        <v>93</v>
      </c>
      <c r="B9" s="132" t="s">
        <v>120</v>
      </c>
      <c r="C9" s="156">
        <v>0.03</v>
      </c>
      <c r="D9" s="499" t="s">
        <v>94</v>
      </c>
      <c r="E9" s="500"/>
    </row>
    <row r="10" spans="1:8" x14ac:dyDescent="0.2">
      <c r="A10" s="131" t="s">
        <v>95</v>
      </c>
      <c r="B10" s="132" t="s">
        <v>121</v>
      </c>
      <c r="C10" s="157">
        <v>6.9000000000000006E-2</v>
      </c>
      <c r="D10" s="499"/>
      <c r="E10" s="500"/>
    </row>
    <row r="11" spans="1:8" x14ac:dyDescent="0.2">
      <c r="A11" s="131" t="s">
        <v>96</v>
      </c>
      <c r="B11" s="132" t="s">
        <v>122</v>
      </c>
      <c r="C11" s="157">
        <v>5.8999999999999999E-3</v>
      </c>
      <c r="D11" s="499"/>
      <c r="E11" s="500"/>
    </row>
    <row r="12" spans="1:8" x14ac:dyDescent="0.2">
      <c r="A12" s="131" t="s">
        <v>97</v>
      </c>
      <c r="B12" s="132" t="s">
        <v>123</v>
      </c>
      <c r="C12" s="157">
        <v>8.0000000000000002E-3</v>
      </c>
      <c r="D12" s="499"/>
      <c r="E12" s="500"/>
    </row>
    <row r="13" spans="1:8" x14ac:dyDescent="0.2">
      <c r="A13" s="131" t="s">
        <v>98</v>
      </c>
      <c r="B13" s="132">
        <v>0</v>
      </c>
      <c r="C13" s="157">
        <v>0</v>
      </c>
      <c r="D13" s="501" t="s">
        <v>99</v>
      </c>
      <c r="E13" s="502"/>
    </row>
    <row r="14" spans="1:8" x14ac:dyDescent="0.2">
      <c r="A14" s="131" t="s">
        <v>100</v>
      </c>
      <c r="B14" s="132" t="s">
        <v>125</v>
      </c>
      <c r="C14" s="157">
        <v>9.7000000000000003E-3</v>
      </c>
      <c r="D14" s="501"/>
      <c r="E14" s="502"/>
    </row>
    <row r="15" spans="1:8" x14ac:dyDescent="0.2">
      <c r="A15" s="131" t="s">
        <v>101</v>
      </c>
      <c r="B15" s="132" t="s">
        <v>126</v>
      </c>
      <c r="C15" s="157">
        <v>0.04</v>
      </c>
      <c r="D15" s="501"/>
      <c r="E15" s="502"/>
    </row>
    <row r="16" spans="1:8" x14ac:dyDescent="0.2">
      <c r="A16" s="131" t="s">
        <v>102</v>
      </c>
      <c r="B16" s="132" t="s">
        <v>103</v>
      </c>
      <c r="C16" s="157">
        <v>0.02</v>
      </c>
      <c r="D16" s="501"/>
      <c r="E16" s="502"/>
    </row>
    <row r="17" spans="1:7" x14ac:dyDescent="0.2">
      <c r="A17" s="133"/>
      <c r="B17" s="134"/>
      <c r="C17" s="135"/>
      <c r="D17" s="136"/>
      <c r="E17" s="137"/>
    </row>
    <row r="18" spans="1:7" x14ac:dyDescent="0.2">
      <c r="A18" s="138"/>
      <c r="C18" s="139"/>
      <c r="E18" s="140"/>
    </row>
    <row r="19" spans="1:7" x14ac:dyDescent="0.2">
      <c r="A19" s="481" t="str">
        <f>PLANILHA!G4</f>
        <v>DATA: 14/04/2025</v>
      </c>
      <c r="B19" s="482"/>
      <c r="E19" s="140"/>
    </row>
    <row r="20" spans="1:7" ht="15.75" x14ac:dyDescent="0.25">
      <c r="A20" s="138"/>
      <c r="E20" s="140"/>
      <c r="G20" s="141"/>
    </row>
    <row r="21" spans="1:7" x14ac:dyDescent="0.2">
      <c r="A21" s="138"/>
      <c r="C21" s="331" t="s">
        <v>127</v>
      </c>
      <c r="D21" s="331"/>
      <c r="E21" s="483"/>
    </row>
    <row r="22" spans="1:7" x14ac:dyDescent="0.2">
      <c r="A22" s="138"/>
      <c r="C22" s="332" t="s">
        <v>128</v>
      </c>
      <c r="D22" s="332"/>
      <c r="E22" s="484"/>
    </row>
    <row r="23" spans="1:7" ht="13.5" thickBot="1" x14ac:dyDescent="0.25">
      <c r="A23" s="142"/>
      <c r="B23" s="143"/>
      <c r="C23" s="143"/>
      <c r="D23" s="143"/>
      <c r="E23" s="144"/>
    </row>
  </sheetData>
  <mergeCells count="9">
    <mergeCell ref="A19:B19"/>
    <mergeCell ref="C21:E21"/>
    <mergeCell ref="C22:E22"/>
    <mergeCell ref="A1:E4"/>
    <mergeCell ref="A5:E5"/>
    <mergeCell ref="A6:E6"/>
    <mergeCell ref="A7:E7"/>
    <mergeCell ref="D9:E12"/>
    <mergeCell ref="D13:E16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</vt:lpstr>
      <vt:lpstr>MEMÓRIA DE CÁLCULO</vt:lpstr>
      <vt:lpstr>CRONOGRAMA</vt:lpstr>
      <vt:lpstr>BDI</vt:lpstr>
      <vt:lpstr>CRONOGRAMA!Area_de_impressao</vt:lpstr>
      <vt:lpstr>'MEMÓRIA DE CÁLCULO'!Area_de_impressao</vt:lpstr>
      <vt:lpstr>PLANILHA!Area_de_impressao</vt:lpstr>
    </vt:vector>
  </TitlesOfParts>
  <Company>Setop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Admin</cp:lastModifiedBy>
  <cp:lastPrinted>2025-04-24T18:37:04Z</cp:lastPrinted>
  <dcterms:created xsi:type="dcterms:W3CDTF">2006-09-22T16:55:22Z</dcterms:created>
  <dcterms:modified xsi:type="dcterms:W3CDTF">2025-04-24T19:34:43Z</dcterms:modified>
</cp:coreProperties>
</file>